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codeName="ThisWorkbook" defaultThemeVersion="124226"/>
  <xr:revisionPtr revIDLastSave="0" documentId="8_{B436CBF7-92C4-4306-9251-BF1F41EDB8E8}" xr6:coauthVersionLast="47" xr6:coauthVersionMax="47" xr10:uidLastSave="{00000000-0000-0000-0000-000000000000}"/>
  <bookViews>
    <workbookView xWindow="0" yWindow="0" windowWidth="10320" windowHeight="7545" xr2:uid="{00000000-000D-0000-FFFF-FFFF00000000}"/>
  </bookViews>
  <sheets>
    <sheet name="Fill white Cells " sheetId="11" r:id="rId1"/>
    <sheet name="OLD front" sheetId="13" r:id="rId2"/>
    <sheet name="OLD back" sheetId="10" r:id="rId3"/>
    <sheet name="OLD Form 16" sheetId="19" state="hidden" r:id="rId4"/>
    <sheet name="Form 12BB" sheetId="22" state="hidden" r:id="rId5"/>
    <sheet name="NEW front" sheetId="16" r:id="rId6"/>
    <sheet name="NEW back" sheetId="18" r:id="rId7"/>
    <sheet name="NEW Form 16" sheetId="21" state="hidden" r:id="rId8"/>
  </sheets>
  <externalReferences>
    <externalReference r:id="rId9"/>
  </externalReferences>
  <definedNames>
    <definedName name="CCATYPE">[1]Sheet3!$BH$10:$BH$12</definedName>
    <definedName name="DA">[1]Sheet3!$BD$11:$BD$13</definedName>
    <definedName name="DAA">[1]Sheet3!$BG$2:$BG$7</definedName>
    <definedName name="DESIGNATION">'Fill white Cells '!$AE$2:$AE$4</definedName>
    <definedName name="FORM_1" localSheetId="7">#REF!</definedName>
    <definedName name="FORM_1" localSheetId="3">#REF!</definedName>
    <definedName name="FORM_1" localSheetId="1">'OLD front'!$A$1:$E$40</definedName>
    <definedName name="FORM_1">#REF!</definedName>
    <definedName name="FORM_2" localSheetId="7">#REF!</definedName>
    <definedName name="FORM_2" localSheetId="3">#REF!</definedName>
    <definedName name="FORM_2" localSheetId="1">'OLD front'!$A$42:$E$79</definedName>
    <definedName name="FORM_2">#REF!</definedName>
    <definedName name="form_3">#REF!</definedName>
    <definedName name="FORM_4" localSheetId="6">'NEW back'!$A$1:$U$51</definedName>
    <definedName name="FORM_4" localSheetId="5">'NEW front'!#REF!</definedName>
    <definedName name="FORM_4">'OLD back'!$A$1:$U$51</definedName>
    <definedName name="GRADEPAY">[1]Sheet3!$BG$1:$BG$39</definedName>
    <definedName name="HRA" localSheetId="7">'Fill white Cells '!$AP$47:$AP$56</definedName>
    <definedName name="HRA" localSheetId="3">'Fill white Cells '!$AP$47:$AP$56</definedName>
    <definedName name="HRA">'Fill white Cells '!$AP$47:$AP$56</definedName>
    <definedName name="HRATYPE">[1]Sheet3!$BH$4:$BH$8</definedName>
    <definedName name="INCREMENT">[1]Sheet3!$BH$20:$BH$23</definedName>
    <definedName name="PARTICULARS_OF_LIC" localSheetId="7">#REF!</definedName>
    <definedName name="PARTICULARS_OF_LIC" localSheetId="3">#REF!</definedName>
    <definedName name="PARTICULARS_OF_LIC">#REF!</definedName>
    <definedName name="PENSION">[1]Sheet3!$BH$1:$BH$2</definedName>
    <definedName name="PP">[1]Sheet3!$BK$1:$BK$3</definedName>
    <definedName name="_xlnm.Print_Area" localSheetId="0">'Fill white Cells '!$A$1:$O$98</definedName>
    <definedName name="_xlnm.Print_Area" localSheetId="6">'NEW back'!$A$1:$U$62</definedName>
    <definedName name="_xlnm.Print_Area" localSheetId="7">'NEW Form 16'!$A$1:$G$61</definedName>
    <definedName name="_xlnm.Print_Area" localSheetId="5">'NEW front'!$A$1:$S$39</definedName>
    <definedName name="_xlnm.Print_Area" localSheetId="2">'OLD back'!$A$1:$U$61</definedName>
    <definedName name="_xlnm.Print_Area" localSheetId="3">'OLD Form 16'!$A$1:$G$61</definedName>
    <definedName name="_xlnm.Print_Area" localSheetId="1">'OLD front'!$A$1:$E$79</definedName>
    <definedName name="SCHOOL">'Fill white Cells '!$AE$8:$AE$9</definedName>
    <definedName name="SLS">[1]Sheet3!$BH$16:$BH$18</definedName>
    <definedName name="SN">'Fill white Cells '!$AE$12:$AE$13</definedName>
    <definedName name="STRIKE">[1]Sheet3!$B$39:$B$47</definedName>
    <definedName name="YES">[1]Sheet3!$BH$14:$BH$15</definedName>
    <definedName name="யய12">'OLD back'!$E$9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8" l="1"/>
  <c r="K28" i="10"/>
  <c r="Q9" i="10" l="1"/>
  <c r="Q9" i="18"/>
  <c r="K39" i="11" l="1"/>
  <c r="F39" i="11"/>
  <c r="E41" i="13" l="1"/>
  <c r="Q12" i="16"/>
  <c r="D38" i="13"/>
  <c r="D39" i="13"/>
  <c r="K42" i="11"/>
  <c r="K41" i="11"/>
  <c r="R12" i="13" l="1"/>
  <c r="Q28" i="18"/>
  <c r="I28" i="18"/>
  <c r="G28" i="18"/>
  <c r="F28" i="18"/>
  <c r="E28" i="18"/>
  <c r="D28" i="18"/>
  <c r="B28" i="18"/>
  <c r="A29" i="18"/>
  <c r="A28" i="18"/>
  <c r="S28" i="10"/>
  <c r="Q28" i="10"/>
  <c r="R28" i="10" s="1"/>
  <c r="I28" i="10"/>
  <c r="G28" i="10"/>
  <c r="F28" i="10"/>
  <c r="E28" i="10"/>
  <c r="D28" i="10"/>
  <c r="B28" i="10"/>
  <c r="A28" i="10"/>
  <c r="A29" i="10"/>
  <c r="J28" i="18" l="1"/>
  <c r="J28" i="10"/>
  <c r="R28" i="18"/>
  <c r="S28" i="18" s="1"/>
  <c r="E6" i="11" l="1"/>
  <c r="A1" i="13" s="1"/>
  <c r="F55" i="22"/>
  <c r="A55" i="22"/>
  <c r="C53" i="22"/>
  <c r="D7" i="22"/>
  <c r="E37" i="22"/>
  <c r="E36" i="22"/>
  <c r="E35" i="22"/>
  <c r="E34" i="22"/>
  <c r="C33" i="22"/>
  <c r="C32" i="22"/>
  <c r="C31" i="22"/>
  <c r="C30" i="22"/>
  <c r="D6" i="22"/>
  <c r="D5" i="22"/>
  <c r="D4" i="22"/>
  <c r="D33" i="13"/>
  <c r="E38" i="22" s="1"/>
  <c r="Q27" i="18"/>
  <c r="R27" i="18" s="1"/>
  <c r="I27" i="18"/>
  <c r="G27" i="18"/>
  <c r="F27" i="18"/>
  <c r="D27" i="18"/>
  <c r="B27" i="18"/>
  <c r="A27" i="18"/>
  <c r="A27" i="10"/>
  <c r="Q27" i="10"/>
  <c r="R27" i="10" s="1"/>
  <c r="I27" i="10"/>
  <c r="G27" i="10"/>
  <c r="F27" i="10"/>
  <c r="D27" i="10"/>
  <c r="B27" i="10"/>
  <c r="A4" i="13"/>
  <c r="H5" i="11"/>
  <c r="E17" i="19"/>
  <c r="E16" i="19"/>
  <c r="H50" i="10"/>
  <c r="H49" i="10"/>
  <c r="H48" i="10"/>
  <c r="H47" i="10"/>
  <c r="H46" i="10"/>
  <c r="H45" i="10"/>
  <c r="H43" i="10"/>
  <c r="A50" i="10"/>
  <c r="A49" i="10"/>
  <c r="A48" i="10"/>
  <c r="A47" i="10"/>
  <c r="A46" i="10"/>
  <c r="A45" i="10"/>
  <c r="A41" i="10"/>
  <c r="A43" i="10"/>
  <c r="H42" i="10"/>
  <c r="H41" i="10"/>
  <c r="H53" i="10"/>
  <c r="H44" i="10"/>
  <c r="B29" i="11"/>
  <c r="D60" i="21"/>
  <c r="C60" i="21"/>
  <c r="C59" i="21"/>
  <c r="B53" i="21"/>
  <c r="F26" i="21"/>
  <c r="E17" i="21"/>
  <c r="E16" i="21"/>
  <c r="E14" i="21"/>
  <c r="C14" i="21"/>
  <c r="E11" i="21"/>
  <c r="E10" i="21"/>
  <c r="E9" i="21"/>
  <c r="E8" i="21"/>
  <c r="K7" i="21"/>
  <c r="C60" i="19"/>
  <c r="D60" i="19"/>
  <c r="C59" i="19"/>
  <c r="B53" i="19"/>
  <c r="F26" i="19"/>
  <c r="K7" i="19" s="1"/>
  <c r="E11" i="19"/>
  <c r="E10" i="19"/>
  <c r="Q51" i="11"/>
  <c r="Q50" i="11"/>
  <c r="Q49" i="11"/>
  <c r="K17" i="21" l="1"/>
  <c r="K19" i="21" s="1"/>
  <c r="A56" i="21" s="1"/>
  <c r="L16" i="21"/>
  <c r="L14" i="21"/>
  <c r="L15" i="21" s="1"/>
  <c r="L12" i="21"/>
  <c r="L13" i="21" s="1"/>
  <c r="L8" i="21"/>
  <c r="L9" i="21" s="1"/>
  <c r="B55" i="13"/>
  <c r="D55" i="13"/>
  <c r="B56" i="13"/>
  <c r="M5" i="18"/>
  <c r="P1" i="10"/>
  <c r="M15" i="21"/>
  <c r="N15" i="21"/>
  <c r="M9" i="21"/>
  <c r="N9" i="21"/>
  <c r="L10" i="21"/>
  <c r="L11" i="21" s="1"/>
  <c r="L12" i="19"/>
  <c r="L13" i="19" s="1"/>
  <c r="M13" i="19" s="1"/>
  <c r="L8" i="19"/>
  <c r="L9" i="19" s="1"/>
  <c r="N9" i="19" s="1"/>
  <c r="L14" i="19"/>
  <c r="L15" i="19" s="1"/>
  <c r="M15" i="19" s="1"/>
  <c r="L10" i="19"/>
  <c r="L11" i="19" s="1"/>
  <c r="M11" i="19" s="1"/>
  <c r="L16" i="19"/>
  <c r="O15" i="19" s="1"/>
  <c r="N13" i="21" l="1"/>
  <c r="M13" i="21"/>
  <c r="M16" i="21"/>
  <c r="O15" i="21"/>
  <c r="N11" i="21"/>
  <c r="M11" i="21"/>
  <c r="N11" i="19"/>
  <c r="N13" i="19"/>
  <c r="N15" i="19"/>
  <c r="M16" i="19"/>
  <c r="M9" i="19"/>
  <c r="E14" i="19"/>
  <c r="C14" i="19"/>
  <c r="E9" i="19"/>
  <c r="E8" i="19"/>
  <c r="G29" i="18"/>
  <c r="I29" i="18"/>
  <c r="K29" i="18"/>
  <c r="I26" i="18"/>
  <c r="G26" i="18"/>
  <c r="K29" i="10"/>
  <c r="I29" i="10"/>
  <c r="I26" i="10"/>
  <c r="G29" i="10"/>
  <c r="G26" i="10"/>
  <c r="AE54" i="11"/>
  <c r="AK12" i="10" s="1"/>
  <c r="AE53" i="11"/>
  <c r="AK11" i="10" s="1"/>
  <c r="AE52" i="11"/>
  <c r="AD54" i="11"/>
  <c r="AD53" i="11"/>
  <c r="Q11" i="16"/>
  <c r="E46" i="13"/>
  <c r="E43" i="22" s="1"/>
  <c r="K17" i="19" l="1"/>
  <c r="K19" i="19" s="1"/>
  <c r="A56" i="19" s="1"/>
  <c r="AL11" i="18"/>
  <c r="AL12" i="18"/>
  <c r="R1" i="10"/>
  <c r="B1" i="10"/>
  <c r="AD67" i="11"/>
  <c r="AE67" i="11"/>
  <c r="AD68" i="11"/>
  <c r="AE68" i="11"/>
  <c r="AD69" i="11"/>
  <c r="AE69" i="11"/>
  <c r="E4" i="16" l="1"/>
  <c r="E40" i="22"/>
  <c r="Q29" i="18" l="1"/>
  <c r="Q26" i="18"/>
  <c r="Q29" i="10"/>
  <c r="Q26" i="10"/>
  <c r="R26" i="10" s="1"/>
  <c r="E16" i="13"/>
  <c r="A26" i="18"/>
  <c r="A26" i="10"/>
  <c r="S53" i="10"/>
  <c r="S50" i="10"/>
  <c r="S51" i="10"/>
  <c r="S52" i="10"/>
  <c r="S49" i="10"/>
  <c r="P53" i="10"/>
  <c r="P50" i="10"/>
  <c r="P51" i="10"/>
  <c r="P52" i="10"/>
  <c r="P49" i="10"/>
  <c r="M53" i="10"/>
  <c r="M50" i="10"/>
  <c r="M51" i="10"/>
  <c r="M52" i="10"/>
  <c r="M49" i="10"/>
  <c r="S45" i="10"/>
  <c r="S42" i="10"/>
  <c r="S43" i="10"/>
  <c r="S44" i="10"/>
  <c r="S41" i="10"/>
  <c r="P45" i="10"/>
  <c r="P43" i="10"/>
  <c r="P42" i="10"/>
  <c r="P41" i="10"/>
  <c r="M45" i="10"/>
  <c r="M42" i="10"/>
  <c r="M43" i="10"/>
  <c r="M44" i="10"/>
  <c r="M41" i="10"/>
  <c r="K53" i="10"/>
  <c r="K46" i="10"/>
  <c r="K47" i="10"/>
  <c r="K48" i="10"/>
  <c r="K49" i="10"/>
  <c r="K50" i="10"/>
  <c r="K51" i="10"/>
  <c r="K52" i="10"/>
  <c r="K45" i="10"/>
  <c r="K42" i="10"/>
  <c r="K43" i="10"/>
  <c r="K41" i="10"/>
  <c r="D58" i="10"/>
  <c r="D57" i="10"/>
  <c r="K58" i="10"/>
  <c r="K57" i="10"/>
  <c r="J58" i="10"/>
  <c r="J57" i="10"/>
  <c r="H58" i="10"/>
  <c r="H57" i="10"/>
  <c r="A58" i="10"/>
  <c r="A57" i="10"/>
  <c r="E53" i="10"/>
  <c r="E50" i="10"/>
  <c r="E49" i="10"/>
  <c r="E48" i="10"/>
  <c r="E47" i="10"/>
  <c r="E46" i="10"/>
  <c r="E45" i="10"/>
  <c r="E43" i="10"/>
  <c r="E42" i="10"/>
  <c r="E41" i="10"/>
  <c r="A53" i="10"/>
  <c r="A51" i="10"/>
  <c r="A52" i="10"/>
  <c r="A42" i="10"/>
  <c r="A44" i="10"/>
  <c r="Q26" i="16"/>
  <c r="E62" i="13"/>
  <c r="E50" i="13"/>
  <c r="E47" i="22" s="1"/>
  <c r="E49" i="13"/>
  <c r="E46" i="22" s="1"/>
  <c r="E47" i="13"/>
  <c r="E44" i="22" s="1"/>
  <c r="E45" i="13"/>
  <c r="E42" i="22" s="1"/>
  <c r="E44" i="13"/>
  <c r="P5" i="18"/>
  <c r="P3" i="18"/>
  <c r="D4" i="18"/>
  <c r="K8" i="18"/>
  <c r="K8" i="10"/>
  <c r="C29" i="22" s="1"/>
  <c r="I25" i="18"/>
  <c r="J25" i="18" s="1"/>
  <c r="I19" i="13"/>
  <c r="A3" i="13"/>
  <c r="D35" i="16"/>
  <c r="E3" i="16"/>
  <c r="E6" i="16"/>
  <c r="E5" i="16"/>
  <c r="Y42" i="18"/>
  <c r="Y41" i="18"/>
  <c r="Y40" i="18"/>
  <c r="Y39" i="18"/>
  <c r="F35" i="18"/>
  <c r="F36" i="18" s="1"/>
  <c r="E35" i="18"/>
  <c r="T30" i="18"/>
  <c r="F29" i="18"/>
  <c r="E29" i="18"/>
  <c r="D29" i="18"/>
  <c r="C29" i="18"/>
  <c r="B29" i="18"/>
  <c r="AE26" i="18"/>
  <c r="F26" i="18"/>
  <c r="D26" i="18"/>
  <c r="C26" i="18"/>
  <c r="B26" i="18"/>
  <c r="T25" i="18"/>
  <c r="AH24" i="18"/>
  <c r="AG24" i="18"/>
  <c r="T24" i="18"/>
  <c r="S24" i="18"/>
  <c r="E23" i="18"/>
  <c r="E22" i="18"/>
  <c r="AI21" i="18"/>
  <c r="Y21" i="18"/>
  <c r="X21" i="18"/>
  <c r="C21" i="18"/>
  <c r="AI20" i="18"/>
  <c r="AH20" i="18"/>
  <c r="AH21" i="18" s="1"/>
  <c r="P20" i="18"/>
  <c r="O20" i="18"/>
  <c r="AI19" i="18"/>
  <c r="U19" i="18"/>
  <c r="P19" i="18"/>
  <c r="O19" i="18"/>
  <c r="AI18" i="18"/>
  <c r="AH18" i="18"/>
  <c r="P18" i="18"/>
  <c r="O18" i="18"/>
  <c r="AI17" i="18"/>
  <c r="P17" i="18"/>
  <c r="O17" i="18"/>
  <c r="AI16" i="18"/>
  <c r="P16" i="18"/>
  <c r="O16" i="18"/>
  <c r="AI15" i="18"/>
  <c r="AG15" i="18"/>
  <c r="AG16" i="18" s="1"/>
  <c r="P15" i="18"/>
  <c r="O15" i="18"/>
  <c r="AI14" i="18"/>
  <c r="AD14" i="18"/>
  <c r="U14" i="18"/>
  <c r="P14" i="18"/>
  <c r="O14" i="18"/>
  <c r="AI13" i="18"/>
  <c r="AC13" i="18"/>
  <c r="P13" i="18"/>
  <c r="O13" i="18"/>
  <c r="AI12" i="18"/>
  <c r="P12" i="18"/>
  <c r="O12" i="18"/>
  <c r="AI11" i="18"/>
  <c r="P11" i="18"/>
  <c r="O11" i="18"/>
  <c r="AM10" i="18"/>
  <c r="AM11" i="18" s="1"/>
  <c r="AM12" i="18" s="1"/>
  <c r="AM13" i="18" s="1"/>
  <c r="AM14" i="18" s="1"/>
  <c r="AM15" i="18" s="1"/>
  <c r="AM16" i="18" s="1"/>
  <c r="AM17" i="18" s="1"/>
  <c r="AM18" i="18" s="1"/>
  <c r="AM19" i="18" s="1"/>
  <c r="AM20" i="18" s="1"/>
  <c r="AM21" i="18" s="1"/>
  <c r="AM22" i="18" s="1"/>
  <c r="AM23" i="18" s="1"/>
  <c r="AM24" i="18" s="1"/>
  <c r="AM25" i="18" s="1"/>
  <c r="AM26" i="18" s="1"/>
  <c r="AI10" i="18"/>
  <c r="P10" i="18"/>
  <c r="O10" i="18"/>
  <c r="AI9" i="18"/>
  <c r="P9" i="18"/>
  <c r="O9" i="18"/>
  <c r="N9" i="18"/>
  <c r="N16" i="18" s="1"/>
  <c r="M9" i="18"/>
  <c r="L9" i="18"/>
  <c r="I9" i="18"/>
  <c r="I10" i="18" s="1"/>
  <c r="H9" i="18"/>
  <c r="G9" i="18"/>
  <c r="B9" i="18"/>
  <c r="D5" i="18"/>
  <c r="D3" i="18"/>
  <c r="D3" i="13"/>
  <c r="B75" i="13"/>
  <c r="C52" i="22" s="1"/>
  <c r="A71" i="13"/>
  <c r="E51" i="13"/>
  <c r="E48" i="22" s="1"/>
  <c r="E43" i="13"/>
  <c r="G35" i="13"/>
  <c r="D31" i="13"/>
  <c r="D29" i="13"/>
  <c r="D17" i="13"/>
  <c r="E17" i="13" s="1"/>
  <c r="D9" i="18"/>
  <c r="AE80" i="11"/>
  <c r="AK26" i="10" s="1"/>
  <c r="AE77" i="11"/>
  <c r="AK25" i="10" s="1"/>
  <c r="AE76" i="11"/>
  <c r="AK24" i="10" s="1"/>
  <c r="AK23" i="10"/>
  <c r="AK22" i="10"/>
  <c r="AK21" i="10"/>
  <c r="AE62" i="11"/>
  <c r="AK20" i="10" s="1"/>
  <c r="AE61" i="11"/>
  <c r="AK19" i="10" s="1"/>
  <c r="AE60" i="11"/>
  <c r="AK18" i="10" s="1"/>
  <c r="AE59" i="11"/>
  <c r="AK17" i="10" s="1"/>
  <c r="AE58" i="11"/>
  <c r="AK16" i="10" s="1"/>
  <c r="AE57" i="11"/>
  <c r="AK15" i="10" s="1"/>
  <c r="AE56" i="11"/>
  <c r="AK14" i="10" s="1"/>
  <c r="AE55" i="11"/>
  <c r="AK13" i="10" s="1"/>
  <c r="AK10" i="10"/>
  <c r="AD80" i="11"/>
  <c r="AD77" i="11"/>
  <c r="AD76" i="11"/>
  <c r="AD62" i="11"/>
  <c r="AD61" i="11"/>
  <c r="AD60" i="11"/>
  <c r="AD59" i="11"/>
  <c r="AD58" i="11"/>
  <c r="AD57" i="11"/>
  <c r="AD56" i="11"/>
  <c r="AD55" i="11"/>
  <c r="AD52" i="11"/>
  <c r="J29" i="18" l="1"/>
  <c r="E9" i="18"/>
  <c r="R29" i="10"/>
  <c r="L15" i="18"/>
  <c r="L16" i="18" s="1"/>
  <c r="L17" i="18" s="1"/>
  <c r="L18" i="18" s="1"/>
  <c r="L19" i="18" s="1"/>
  <c r="L20" i="18" s="1"/>
  <c r="R26" i="18"/>
  <c r="R29" i="18"/>
  <c r="BI29" i="16"/>
  <c r="BJ29" i="16" s="1"/>
  <c r="G65" i="13"/>
  <c r="I65" i="13" s="1"/>
  <c r="M10" i="18"/>
  <c r="M11" i="18" s="1"/>
  <c r="M12" i="18" s="1"/>
  <c r="M13" i="18"/>
  <c r="J23" i="18"/>
  <c r="K23" i="18"/>
  <c r="J22" i="18"/>
  <c r="K22" i="18"/>
  <c r="X42" i="10"/>
  <c r="D30" i="13" s="1"/>
  <c r="X41" i="10"/>
  <c r="D28" i="13" s="1"/>
  <c r="X40" i="10"/>
  <c r="D27" i="13" s="1"/>
  <c r="X39" i="10"/>
  <c r="AL15" i="18"/>
  <c r="AL26" i="18"/>
  <c r="AL13" i="18"/>
  <c r="AL23" i="18"/>
  <c r="AL21" i="18"/>
  <c r="AL18" i="18"/>
  <c r="AL10" i="18"/>
  <c r="AL14" i="18"/>
  <c r="AL17" i="18"/>
  <c r="AL19" i="18"/>
  <c r="AL22" i="18"/>
  <c r="AL20" i="18"/>
  <c r="AL16" i="18"/>
  <c r="AL24" i="18"/>
  <c r="AL25" i="18"/>
  <c r="N14" i="18"/>
  <c r="U21" i="18"/>
  <c r="U30" i="18" s="1"/>
  <c r="N11" i="18"/>
  <c r="P21" i="18"/>
  <c r="P30" i="18" s="1"/>
  <c r="N12" i="18"/>
  <c r="AC15" i="18"/>
  <c r="O21" i="18"/>
  <c r="O30" i="18" s="1"/>
  <c r="N15" i="18"/>
  <c r="N18" i="18"/>
  <c r="N19" i="18"/>
  <c r="N20" i="18"/>
  <c r="G35" i="18"/>
  <c r="G37" i="18" s="1"/>
  <c r="I11" i="18"/>
  <c r="I12" i="18" s="1"/>
  <c r="I13" i="18" s="1"/>
  <c r="I14" i="18" s="1"/>
  <c r="I15" i="18" s="1"/>
  <c r="I16" i="18" s="1"/>
  <c r="I17" i="18" s="1"/>
  <c r="I18" i="18" s="1"/>
  <c r="I19" i="18" s="1"/>
  <c r="I20" i="18" s="1"/>
  <c r="AR9" i="18"/>
  <c r="D10" i="18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H10" i="18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L10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L12" i="18"/>
  <c r="N13" i="18"/>
  <c r="L14" i="18"/>
  <c r="N17" i="18"/>
  <c r="F37" i="18"/>
  <c r="B24" i="18" s="1"/>
  <c r="L13" i="18"/>
  <c r="N10" i="18"/>
  <c r="L11" i="18"/>
  <c r="AB13" i="10"/>
  <c r="F35" i="10"/>
  <c r="U19" i="10"/>
  <c r="U14" i="10"/>
  <c r="D9" i="10"/>
  <c r="C21" i="10"/>
  <c r="B4" i="10"/>
  <c r="P3" i="10"/>
  <c r="J100" i="11"/>
  <c r="S29" i="18" l="1"/>
  <c r="M14" i="18"/>
  <c r="M15" i="18" s="1"/>
  <c r="M16" i="18" s="1"/>
  <c r="M17" i="18" s="1"/>
  <c r="M18" i="18" s="1"/>
  <c r="M19" i="18" s="1"/>
  <c r="M20" i="18" s="1"/>
  <c r="I21" i="18"/>
  <c r="I30" i="18" s="1"/>
  <c r="H21" i="18"/>
  <c r="H30" i="18" s="1"/>
  <c r="H35" i="18"/>
  <c r="H36" i="18" s="1"/>
  <c r="G36" i="18"/>
  <c r="C24" i="18" s="1"/>
  <c r="C30" i="18" s="1"/>
  <c r="L21" i="18"/>
  <c r="L30" i="18" s="1"/>
  <c r="AQ9" i="18"/>
  <c r="AS9" i="18" s="1"/>
  <c r="AT9" i="18" s="1"/>
  <c r="D21" i="18"/>
  <c r="N21" i="18"/>
  <c r="N30" i="18" s="1"/>
  <c r="G21" i="18"/>
  <c r="G30" i="18" s="1"/>
  <c r="K9" i="18"/>
  <c r="X21" i="10"/>
  <c r="W21" i="10"/>
  <c r="M21" i="18" l="1"/>
  <c r="M30" i="18" s="1"/>
  <c r="I35" i="18"/>
  <c r="M35" i="18" s="1"/>
  <c r="H37" i="18"/>
  <c r="D24" i="18" s="1"/>
  <c r="D30" i="18" s="1"/>
  <c r="AL10" i="10"/>
  <c r="AL11" i="10" s="1"/>
  <c r="AL12" i="10" s="1"/>
  <c r="AL13" i="10" s="1"/>
  <c r="AL14" i="10" s="1"/>
  <c r="AL15" i="10" s="1"/>
  <c r="P5" i="10"/>
  <c r="R4" i="10"/>
  <c r="B5" i="10"/>
  <c r="B3" i="10"/>
  <c r="I25" i="10"/>
  <c r="M9" i="10"/>
  <c r="M13" i="10" s="1"/>
  <c r="B26" i="10"/>
  <c r="K22" i="10"/>
  <c r="B9" i="10"/>
  <c r="E9" i="10" s="1"/>
  <c r="G9" i="10"/>
  <c r="N9" i="10"/>
  <c r="L9" i="10"/>
  <c r="L15" i="10" s="1"/>
  <c r="C26" i="10"/>
  <c r="C29" i="10"/>
  <c r="D29" i="10"/>
  <c r="E29" i="10"/>
  <c r="F29" i="10"/>
  <c r="B29" i="10"/>
  <c r="D26" i="10"/>
  <c r="F26" i="10"/>
  <c r="S25" i="10"/>
  <c r="E35" i="10"/>
  <c r="I9" i="10"/>
  <c r="H9" i="10"/>
  <c r="P10" i="10"/>
  <c r="P11" i="10"/>
  <c r="P12" i="10"/>
  <c r="P13" i="10"/>
  <c r="P14" i="10"/>
  <c r="P15" i="10"/>
  <c r="P16" i="10"/>
  <c r="P17" i="10"/>
  <c r="P18" i="10"/>
  <c r="P19" i="10"/>
  <c r="P20" i="10"/>
  <c r="P9" i="10"/>
  <c r="O10" i="10"/>
  <c r="O11" i="10"/>
  <c r="O12" i="10"/>
  <c r="O13" i="10"/>
  <c r="O14" i="10"/>
  <c r="O15" i="10"/>
  <c r="O16" i="10"/>
  <c r="O17" i="10"/>
  <c r="O18" i="10"/>
  <c r="O19" i="10"/>
  <c r="O20" i="10"/>
  <c r="O9" i="10"/>
  <c r="AD26" i="10"/>
  <c r="AF24" i="10"/>
  <c r="T30" i="10"/>
  <c r="AG18" i="10"/>
  <c r="AG20" i="10"/>
  <c r="AG21" i="10" s="1"/>
  <c r="AG24" i="10"/>
  <c r="AF15" i="10"/>
  <c r="AF16" i="10" s="1"/>
  <c r="AC14" i="10"/>
  <c r="T25" i="10"/>
  <c r="S24" i="10"/>
  <c r="T24" i="10"/>
  <c r="L20" i="10" l="1"/>
  <c r="L16" i="10"/>
  <c r="L17" i="10"/>
  <c r="L18" i="10"/>
  <c r="L19" i="10"/>
  <c r="K23" i="10"/>
  <c r="J35" i="18"/>
  <c r="J37" i="18" s="1"/>
  <c r="L35" i="18"/>
  <c r="I37" i="18"/>
  <c r="I36" i="18"/>
  <c r="M36" i="18"/>
  <c r="AB15" i="10"/>
  <c r="K9" i="10"/>
  <c r="U21" i="10"/>
  <c r="U30" i="10" s="1"/>
  <c r="P21" i="10"/>
  <c r="P30" i="10" s="1"/>
  <c r="E33" i="22" s="1"/>
  <c r="O21" i="10"/>
  <c r="O30" i="10" s="1"/>
  <c r="E32" i="22" s="1"/>
  <c r="D10" i="10"/>
  <c r="H10" i="10"/>
  <c r="H11" i="10" s="1"/>
  <c r="H12" i="10" s="1"/>
  <c r="H13" i="10" s="1"/>
  <c r="H14" i="10" s="1"/>
  <c r="H15" i="10" s="1"/>
  <c r="H16" i="10" s="1"/>
  <c r="H17" i="10" s="1"/>
  <c r="H18" i="10" s="1"/>
  <c r="H19" i="10" s="1"/>
  <c r="N14" i="10"/>
  <c r="M10" i="10"/>
  <c r="M11" i="10" s="1"/>
  <c r="M12" i="10" s="1"/>
  <c r="M14" i="10" s="1"/>
  <c r="M15" i="10" s="1"/>
  <c r="M16" i="10" s="1"/>
  <c r="M17" i="10" s="1"/>
  <c r="M18" i="10" s="1"/>
  <c r="M19" i="10" s="1"/>
  <c r="L12" i="10"/>
  <c r="I10" i="10"/>
  <c r="I11" i="10" s="1"/>
  <c r="I12" i="10" s="1"/>
  <c r="I13" i="10" s="1"/>
  <c r="I14" i="10" s="1"/>
  <c r="I15" i="10" s="1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AH9" i="10"/>
  <c r="S29" i="10"/>
  <c r="AL16" i="10"/>
  <c r="AL17" i="10" s="1"/>
  <c r="AL18" i="10" s="1"/>
  <c r="AL19" i="10" s="1"/>
  <c r="AL20" i="10" s="1"/>
  <c r="AL21" i="10" s="1"/>
  <c r="AL22" i="10" s="1"/>
  <c r="AL23" i="10" s="1"/>
  <c r="AL24" i="10" s="1"/>
  <c r="AL25" i="10" s="1"/>
  <c r="AL26" i="10" s="1"/>
  <c r="N19" i="10"/>
  <c r="N12" i="10"/>
  <c r="N11" i="10"/>
  <c r="L11" i="10"/>
  <c r="L13" i="10"/>
  <c r="L10" i="10"/>
  <c r="J29" i="10"/>
  <c r="L14" i="10"/>
  <c r="N17" i="10"/>
  <c r="N10" i="10"/>
  <c r="N18" i="10"/>
  <c r="N13" i="10"/>
  <c r="N16" i="10"/>
  <c r="N15" i="10"/>
  <c r="AQ9" i="10"/>
  <c r="G35" i="10"/>
  <c r="J25" i="10"/>
  <c r="N20" i="10"/>
  <c r="I16" i="10" l="1"/>
  <c r="I17" i="10" s="1"/>
  <c r="I18" i="10" s="1"/>
  <c r="I19" i="10" s="1"/>
  <c r="I20" i="10" s="1"/>
  <c r="J36" i="18"/>
  <c r="F24" i="18" s="1"/>
  <c r="D25" i="13"/>
  <c r="A70" i="13" s="1"/>
  <c r="E24" i="18"/>
  <c r="L36" i="18"/>
  <c r="S23" i="18"/>
  <c r="T23" i="18"/>
  <c r="Z23" i="18"/>
  <c r="S22" i="18"/>
  <c r="T22" i="18"/>
  <c r="Z22" i="18"/>
  <c r="E14" i="13"/>
  <c r="G37" i="10"/>
  <c r="G36" i="10"/>
  <c r="N21" i="10"/>
  <c r="N30" i="10" s="1"/>
  <c r="E31" i="22" s="1"/>
  <c r="L21" i="10"/>
  <c r="L30" i="10" s="1"/>
  <c r="E30" i="22" s="1"/>
  <c r="D11" i="10"/>
  <c r="D12" i="10" s="1"/>
  <c r="D13" i="10" s="1"/>
  <c r="D14" i="10" s="1"/>
  <c r="D15" i="10" s="1"/>
  <c r="D16" i="10" s="1"/>
  <c r="D17" i="10" s="1"/>
  <c r="D18" i="10" s="1"/>
  <c r="D19" i="10" s="1"/>
  <c r="H20" i="10"/>
  <c r="H21" i="10" s="1"/>
  <c r="G20" i="10"/>
  <c r="G21" i="10" s="1"/>
  <c r="M20" i="10"/>
  <c r="M21" i="10" s="1"/>
  <c r="M30" i="10" s="1"/>
  <c r="AP9" i="10"/>
  <c r="AR9" i="10" s="1"/>
  <c r="AS9" i="10" s="1"/>
  <c r="H35" i="10"/>
  <c r="H37" i="10" s="1"/>
  <c r="I21" i="10" l="1"/>
  <c r="I30" i="10" s="1"/>
  <c r="J24" i="18"/>
  <c r="F9" i="10"/>
  <c r="J9" i="10" s="1"/>
  <c r="F9" i="18"/>
  <c r="J9" i="18" s="1"/>
  <c r="D24" i="13"/>
  <c r="D23" i="13"/>
  <c r="C24" i="10"/>
  <c r="C30" i="10" s="1"/>
  <c r="I35" i="10"/>
  <c r="H36" i="10"/>
  <c r="H30" i="10"/>
  <c r="G30" i="10"/>
  <c r="D20" i="10"/>
  <c r="D21" i="10" s="1"/>
  <c r="Q48" i="11"/>
  <c r="T49" i="11" l="1"/>
  <c r="T50" i="11"/>
  <c r="T51" i="11"/>
  <c r="J35" i="10"/>
  <c r="D24" i="10"/>
  <c r="D30" i="10" s="1"/>
  <c r="E42" i="13" l="1"/>
  <c r="AH10" i="10" l="1"/>
  <c r="AH11" i="10" l="1"/>
  <c r="AH12" i="10" l="1"/>
  <c r="AH13" i="10" l="1"/>
  <c r="AH14" i="10" l="1"/>
  <c r="AH15" i="10" l="1"/>
  <c r="AH16" i="10" l="1"/>
  <c r="AH17" i="10" l="1"/>
  <c r="AH18" i="10" l="1"/>
  <c r="AH19" i="10" l="1"/>
  <c r="AH20" i="10" l="1"/>
  <c r="M35" i="10" l="1"/>
  <c r="M36" i="10" l="1"/>
  <c r="T23" i="10"/>
  <c r="Y23" i="10"/>
  <c r="AH21" i="10" l="1"/>
  <c r="F37" i="10" l="1"/>
  <c r="F36" i="10" l="1"/>
  <c r="B24" i="10" s="1"/>
  <c r="L35" i="10" s="1"/>
  <c r="J36" i="10"/>
  <c r="L36" i="10" l="1"/>
  <c r="I36" i="10"/>
  <c r="Y22" i="10" l="1"/>
  <c r="T22" i="10"/>
  <c r="I37" i="10" l="1"/>
  <c r="E24" i="10" s="1"/>
  <c r="J37" i="10"/>
  <c r="F24" i="10" s="1"/>
  <c r="J24" i="10" l="1"/>
  <c r="B59" i="13" l="1"/>
  <c r="B10" i="18" l="1"/>
  <c r="B10" i="10"/>
  <c r="F10" i="10" l="1"/>
  <c r="F10" i="18"/>
  <c r="E10" i="10"/>
  <c r="AP10" i="10" s="1"/>
  <c r="AR10" i="18"/>
  <c r="B11" i="18"/>
  <c r="E11" i="18" s="1"/>
  <c r="B11" i="10"/>
  <c r="E10" i="18"/>
  <c r="K10" i="18" s="1"/>
  <c r="AQ10" i="10"/>
  <c r="K10" i="10" l="1"/>
  <c r="J10" i="10"/>
  <c r="AR10" i="10"/>
  <c r="AS10" i="10" s="1"/>
  <c r="AS11" i="10" s="1"/>
  <c r="K11" i="18"/>
  <c r="F11" i="18"/>
  <c r="J11" i="18" s="1"/>
  <c r="B12" i="18"/>
  <c r="AC16" i="18" s="1"/>
  <c r="AQ10" i="18"/>
  <c r="AS10" i="18" s="1"/>
  <c r="AT10" i="18" s="1"/>
  <c r="AT11" i="18" s="1"/>
  <c r="J10" i="18"/>
  <c r="B12" i="10"/>
  <c r="AB16" i="10" s="1"/>
  <c r="F11" i="10"/>
  <c r="AQ11" i="10"/>
  <c r="E11" i="10"/>
  <c r="K11" i="10" s="1"/>
  <c r="F12" i="18" l="1"/>
  <c r="E12" i="18"/>
  <c r="K12" i="18" s="1"/>
  <c r="AP11" i="10"/>
  <c r="AR11" i="10" s="1"/>
  <c r="F12" i="10"/>
  <c r="AQ12" i="10"/>
  <c r="E12" i="10"/>
  <c r="AP12" i="10" s="1"/>
  <c r="J11" i="10"/>
  <c r="K12" i="10" l="1"/>
  <c r="J12" i="18"/>
  <c r="J12" i="10"/>
  <c r="AR12" i="10"/>
  <c r="K13" i="18" l="1"/>
  <c r="K26" i="10"/>
  <c r="K26" i="18"/>
  <c r="K13" i="10"/>
  <c r="D22" i="21"/>
  <c r="D22" i="19"/>
  <c r="K40" i="11"/>
  <c r="E26" i="10"/>
  <c r="J26" i="10" s="1"/>
  <c r="E26" i="18"/>
  <c r="J26" i="18" s="1"/>
  <c r="AB14" i="10" l="1"/>
  <c r="AC17" i="18"/>
  <c r="AC14" i="18"/>
  <c r="AB17" i="10"/>
  <c r="AB19" i="10" s="1"/>
  <c r="AC19" i="10" s="1"/>
  <c r="B13" i="10" s="1"/>
  <c r="K14" i="18"/>
  <c r="S26" i="10"/>
  <c r="T26" i="10"/>
  <c r="K14" i="10"/>
  <c r="T26" i="18"/>
  <c r="S26" i="18"/>
  <c r="B14" i="10" l="1"/>
  <c r="AQ13" i="10"/>
  <c r="F13" i="10"/>
  <c r="E13" i="10"/>
  <c r="AP13" i="10" s="1"/>
  <c r="AC19" i="18"/>
  <c r="AD19" i="18" s="1"/>
  <c r="K27" i="18"/>
  <c r="S27" i="18" s="1"/>
  <c r="K27" i="10"/>
  <c r="S27" i="10" s="1"/>
  <c r="K15" i="18"/>
  <c r="J13" i="10" l="1"/>
  <c r="B15" i="10"/>
  <c r="F14" i="10"/>
  <c r="E14" i="10"/>
  <c r="AP14" i="10" s="1"/>
  <c r="AQ14" i="10"/>
  <c r="AR14" i="10" s="1"/>
  <c r="B13" i="18"/>
  <c r="AR13" i="10"/>
  <c r="K16" i="10"/>
  <c r="K16" i="18"/>
  <c r="J14" i="10" l="1"/>
  <c r="AR13" i="18"/>
  <c r="E13" i="18"/>
  <c r="AQ13" i="18" s="1"/>
  <c r="F13" i="18"/>
  <c r="B14" i="18"/>
  <c r="J13" i="18"/>
  <c r="E15" i="10"/>
  <c r="AQ15" i="10"/>
  <c r="F15" i="10"/>
  <c r="B16" i="10"/>
  <c r="F40" i="11"/>
  <c r="J15" i="10"/>
  <c r="D23" i="19" s="1"/>
  <c r="K17" i="10"/>
  <c r="E27" i="18" l="1"/>
  <c r="J27" i="18" s="1"/>
  <c r="E27" i="10"/>
  <c r="J27" i="10" s="1"/>
  <c r="K15" i="10"/>
  <c r="AP15" i="10"/>
  <c r="AR15" i="10" s="1"/>
  <c r="B15" i="18"/>
  <c r="AR14" i="18"/>
  <c r="F14" i="18"/>
  <c r="E14" i="18"/>
  <c r="AQ14" i="18" s="1"/>
  <c r="E16" i="10"/>
  <c r="AP16" i="10" s="1"/>
  <c r="B17" i="10"/>
  <c r="AQ16" i="10"/>
  <c r="AR16" i="10" s="1"/>
  <c r="F16" i="10"/>
  <c r="J16" i="10" s="1"/>
  <c r="AS13" i="18"/>
  <c r="K19" i="18"/>
  <c r="J14" i="18" l="1"/>
  <c r="AS14" i="18"/>
  <c r="B18" i="10"/>
  <c r="F17" i="10"/>
  <c r="E17" i="10"/>
  <c r="AP17" i="10" s="1"/>
  <c r="AQ17" i="10"/>
  <c r="AR17" i="10" s="1"/>
  <c r="AR18" i="10" s="1"/>
  <c r="F15" i="18"/>
  <c r="E15" i="18"/>
  <c r="AQ15" i="18" s="1"/>
  <c r="AR15" i="18"/>
  <c r="B16" i="18"/>
  <c r="J17" i="10" l="1"/>
  <c r="AS15" i="18"/>
  <c r="J15" i="18"/>
  <c r="D23" i="21" s="1"/>
  <c r="B17" i="18"/>
  <c r="F16" i="18"/>
  <c r="AR16" i="18"/>
  <c r="E16" i="18"/>
  <c r="AQ16" i="18" s="1"/>
  <c r="E18" i="10"/>
  <c r="K18" i="10" s="1"/>
  <c r="F18" i="10"/>
  <c r="B19" i="10"/>
  <c r="K20" i="10"/>
  <c r="J18" i="10" l="1"/>
  <c r="D24" i="19" s="1"/>
  <c r="J16" i="18"/>
  <c r="AS16" i="18"/>
  <c r="B18" i="18"/>
  <c r="F17" i="18"/>
  <c r="E17" i="18"/>
  <c r="AR17" i="18"/>
  <c r="E19" i="10"/>
  <c r="K19" i="10" s="1"/>
  <c r="K21" i="10" s="1"/>
  <c r="K30" i="10" s="1"/>
  <c r="E29" i="22" s="1"/>
  <c r="B20" i="10"/>
  <c r="F19" i="10"/>
  <c r="J19" i="10" s="1"/>
  <c r="B21" i="10"/>
  <c r="B30" i="10" s="1"/>
  <c r="D22" i="13"/>
  <c r="U12" i="13"/>
  <c r="J17" i="18" l="1"/>
  <c r="E48" i="13"/>
  <c r="E45" i="22" s="1"/>
  <c r="Z29" i="10"/>
  <c r="BC29" i="10" s="1"/>
  <c r="E20" i="10"/>
  <c r="E21" i="10" s="1"/>
  <c r="E30" i="10" s="1"/>
  <c r="F20" i="10"/>
  <c r="F21" i="10" s="1"/>
  <c r="F30" i="10" s="1"/>
  <c r="K17" i="18"/>
  <c r="AQ17" i="18"/>
  <c r="AS17" i="18" s="1"/>
  <c r="AS18" i="18" s="1"/>
  <c r="B19" i="18"/>
  <c r="F18" i="18"/>
  <c r="E18" i="18"/>
  <c r="K18" i="18" s="1"/>
  <c r="D32" i="13"/>
  <c r="D21" i="13" s="1"/>
  <c r="J18" i="18" l="1"/>
  <c r="D24" i="21"/>
  <c r="E19" i="18"/>
  <c r="F19" i="18"/>
  <c r="B20" i="18"/>
  <c r="J19" i="18"/>
  <c r="B21" i="18"/>
  <c r="B30" i="18" s="1"/>
  <c r="J20" i="10"/>
  <c r="B10" i="13"/>
  <c r="R10" i="13"/>
  <c r="P67" i="11"/>
  <c r="E54" i="11" s="1"/>
  <c r="C54" i="11" s="1"/>
  <c r="D34" i="13" s="1"/>
  <c r="D35" i="13" s="1"/>
  <c r="E35" i="13" s="1"/>
  <c r="E52" i="13" s="1"/>
  <c r="R36" i="13"/>
  <c r="R37" i="13"/>
  <c r="R38" i="13" s="1"/>
  <c r="T36" i="13"/>
  <c r="S12" i="13" l="1"/>
  <c r="H14" i="11" s="1"/>
  <c r="S11" i="13" s="1"/>
  <c r="G12" i="13"/>
  <c r="G10" i="13"/>
  <c r="U10" i="13"/>
  <c r="U15" i="13" s="1"/>
  <c r="G11" i="13"/>
  <c r="R15" i="13"/>
  <c r="J21" i="10"/>
  <c r="J30" i="10" s="1"/>
  <c r="D25" i="19"/>
  <c r="D26" i="19" s="1"/>
  <c r="AA29" i="18"/>
  <c r="BD29" i="18" s="1"/>
  <c r="E20" i="18"/>
  <c r="K20" i="18" s="1"/>
  <c r="K21" i="18" s="1"/>
  <c r="K30" i="18" s="1"/>
  <c r="F20" i="18"/>
  <c r="F21" i="18" s="1"/>
  <c r="F30" i="18" s="1"/>
  <c r="E21" i="18"/>
  <c r="E30" i="18" s="1"/>
  <c r="E39" i="22"/>
  <c r="B35" i="13"/>
  <c r="S39" i="13"/>
  <c r="J20" i="18" l="1"/>
  <c r="E7" i="13"/>
  <c r="D7" i="13"/>
  <c r="T11" i="13"/>
  <c r="A72" i="13"/>
  <c r="E12" i="22" l="1"/>
  <c r="R11" i="13"/>
  <c r="U11" i="13"/>
  <c r="D25" i="21"/>
  <c r="D26" i="21" s="1"/>
  <c r="J21" i="18"/>
  <c r="J30" i="18" s="1"/>
  <c r="Q9" i="16" s="1"/>
  <c r="R16" i="13" l="1"/>
  <c r="R13" i="13"/>
  <c r="R17" i="13" s="1"/>
  <c r="B11" i="13"/>
  <c r="D14" i="16"/>
  <c r="Q14" i="16"/>
  <c r="U16" i="13"/>
  <c r="U13" i="13"/>
  <c r="U17" i="13" s="1"/>
  <c r="G9" i="13" l="1"/>
  <c r="E9" i="13" s="1"/>
  <c r="E18" i="13" s="1"/>
  <c r="G53" i="13" s="1"/>
  <c r="B53" i="13" s="1"/>
  <c r="P17" i="16"/>
  <c r="P18" i="16" s="1"/>
  <c r="E53" i="13"/>
  <c r="Q18" i="16" l="1"/>
  <c r="P19" i="16"/>
  <c r="D56" i="13"/>
  <c r="D57" i="13" s="1"/>
  <c r="E57" i="13" s="1"/>
  <c r="E60" i="13"/>
  <c r="Q17" i="16"/>
  <c r="P20" i="16" l="1"/>
  <c r="Q19" i="16"/>
  <c r="E56" i="13"/>
  <c r="D58" i="13"/>
  <c r="E58" i="13" s="1"/>
  <c r="E59" i="13" l="1"/>
  <c r="G63" i="13" s="1"/>
  <c r="E61" i="13" s="1"/>
  <c r="E63" i="13" s="1"/>
  <c r="Q20" i="16"/>
  <c r="P22" i="16"/>
  <c r="Q22" i="16" s="1"/>
  <c r="Q10" i="10" l="1"/>
  <c r="Q11" i="10"/>
  <c r="E64" i="13"/>
  <c r="K93" i="11" s="1"/>
  <c r="Q12" i="10"/>
  <c r="Q13" i="10" s="1"/>
  <c r="Q23" i="16"/>
  <c r="Q24" i="16" s="1"/>
  <c r="BJ27" i="16" s="1"/>
  <c r="Q25" i="16" s="1"/>
  <c r="Q27" i="16" s="1"/>
  <c r="D23" i="16"/>
  <c r="Q14" i="10" l="1"/>
  <c r="R9" i="10"/>
  <c r="Q28" i="16"/>
  <c r="M93" i="11" s="1"/>
  <c r="Q15" i="10" l="1"/>
  <c r="T9" i="10"/>
  <c r="S9" i="10"/>
  <c r="Y9" i="10" s="1"/>
  <c r="B32" i="19"/>
  <c r="R12" i="10"/>
  <c r="B35" i="19" s="1"/>
  <c r="R10" i="10"/>
  <c r="B33" i="19" s="1"/>
  <c r="R9" i="18"/>
  <c r="S9" i="18" s="1"/>
  <c r="Z9" i="18" s="1"/>
  <c r="Q10" i="18"/>
  <c r="T10" i="10" l="1"/>
  <c r="S10" i="10"/>
  <c r="Y10" i="10" s="1"/>
  <c r="Q16" i="10"/>
  <c r="T12" i="10"/>
  <c r="S12" i="10"/>
  <c r="Y12" i="10" s="1"/>
  <c r="R11" i="10"/>
  <c r="E22" i="19" s="1"/>
  <c r="T9" i="18"/>
  <c r="R10" i="18"/>
  <c r="B33" i="21" s="1"/>
  <c r="Q11" i="18"/>
  <c r="B32" i="21"/>
  <c r="Q17" i="10" l="1"/>
  <c r="Q18" i="10" s="1"/>
  <c r="Q19" i="10" s="1"/>
  <c r="T11" i="10"/>
  <c r="B34" i="19"/>
  <c r="S11" i="10"/>
  <c r="Y11" i="10" s="1"/>
  <c r="S10" i="18"/>
  <c r="Z10" i="18" s="1"/>
  <c r="R13" i="10"/>
  <c r="R11" i="18"/>
  <c r="S11" i="18" s="1"/>
  <c r="Z11" i="18" s="1"/>
  <c r="T10" i="18"/>
  <c r="Q12" i="18"/>
  <c r="B36" i="19" l="1"/>
  <c r="T13" i="10"/>
  <c r="S13" i="10"/>
  <c r="Y13" i="10" s="1"/>
  <c r="R14" i="10"/>
  <c r="T11" i="18"/>
  <c r="B34" i="21"/>
  <c r="R12" i="18"/>
  <c r="E22" i="21" s="1"/>
  <c r="Q13" i="18"/>
  <c r="S12" i="18" l="1"/>
  <c r="Z12" i="18" s="1"/>
  <c r="B37" i="19"/>
  <c r="S14" i="10"/>
  <c r="Y14" i="10" s="1"/>
  <c r="T12" i="18"/>
  <c r="R17" i="10"/>
  <c r="R16" i="10"/>
  <c r="R15" i="10"/>
  <c r="E23" i="19" s="1"/>
  <c r="T14" i="10"/>
  <c r="B35" i="21"/>
  <c r="Q14" i="18"/>
  <c r="R13" i="18"/>
  <c r="S13" i="18" s="1"/>
  <c r="Z13" i="18" s="1"/>
  <c r="S17" i="10" l="1"/>
  <c r="Y17" i="10" s="1"/>
  <c r="T17" i="10"/>
  <c r="B40" i="19"/>
  <c r="T15" i="10"/>
  <c r="T13" i="18"/>
  <c r="B38" i="19"/>
  <c r="B36" i="21"/>
  <c r="S15" i="10"/>
  <c r="Y15" i="10" s="1"/>
  <c r="T16" i="10"/>
  <c r="B39" i="19"/>
  <c r="S16" i="10"/>
  <c r="Y16" i="10" s="1"/>
  <c r="R14" i="18"/>
  <c r="B37" i="21" s="1"/>
  <c r="Q15" i="18"/>
  <c r="Q16" i="18" l="1"/>
  <c r="S14" i="18"/>
  <c r="Z14" i="18" s="1"/>
  <c r="R18" i="10"/>
  <c r="R15" i="18"/>
  <c r="T15" i="18" s="1"/>
  <c r="T14" i="18"/>
  <c r="E23" i="21"/>
  <c r="Q17" i="18" l="1"/>
  <c r="Q20" i="10"/>
  <c r="R19" i="10"/>
  <c r="U66" i="13"/>
  <c r="T67" i="13" s="1"/>
  <c r="BJ20" i="10"/>
  <c r="AD30" i="10"/>
  <c r="T18" i="10"/>
  <c r="S18" i="10"/>
  <c r="Y18" i="10" s="1"/>
  <c r="E24" i="19"/>
  <c r="B41" i="19"/>
  <c r="B38" i="21"/>
  <c r="R16" i="18"/>
  <c r="T16" i="18" s="1"/>
  <c r="S15" i="18"/>
  <c r="Z15" i="18" s="1"/>
  <c r="Q18" i="18" l="1"/>
  <c r="Q19" i="18" s="1"/>
  <c r="B42" i="19"/>
  <c r="S19" i="10"/>
  <c r="Y19" i="10" s="1"/>
  <c r="V66" i="13"/>
  <c r="BK20" i="10"/>
  <c r="T19" i="10"/>
  <c r="S67" i="13"/>
  <c r="U67" i="13"/>
  <c r="Q21" i="10"/>
  <c r="Q30" i="10" s="1"/>
  <c r="R20" i="10"/>
  <c r="S16" i="18"/>
  <c r="Z16" i="18" s="1"/>
  <c r="R17" i="18"/>
  <c r="T17" i="18"/>
  <c r="B40" i="21"/>
  <c r="B39" i="21"/>
  <c r="T20" i="10" l="1"/>
  <c r="T21" i="10" s="1"/>
  <c r="T31" i="10" s="1"/>
  <c r="E67" i="13"/>
  <c r="B43" i="19"/>
  <c r="B44" i="19" s="1"/>
  <c r="S20" i="10"/>
  <c r="E25" i="19"/>
  <c r="E26" i="19" s="1"/>
  <c r="B66" i="13"/>
  <c r="T68" i="13"/>
  <c r="E66" i="13"/>
  <c r="S17" i="18"/>
  <c r="R18" i="18"/>
  <c r="T18" i="18" s="1"/>
  <c r="BK8" i="18"/>
  <c r="E24" i="21" l="1"/>
  <c r="Y20" i="10"/>
  <c r="Y21" i="10" s="1"/>
  <c r="S21" i="10"/>
  <c r="S30" i="10" s="1"/>
  <c r="U68" i="13"/>
  <c r="V67" i="13" s="1"/>
  <c r="R21" i="10" s="1"/>
  <c r="R30" i="10" s="1"/>
  <c r="B68" i="13" s="1"/>
  <c r="S68" i="13"/>
  <c r="S18" i="18"/>
  <c r="Z18" i="18" s="1"/>
  <c r="Q20" i="18"/>
  <c r="R19" i="18"/>
  <c r="T19" i="18" s="1"/>
  <c r="BJ30" i="16"/>
  <c r="B41" i="21"/>
  <c r="Z17" i="18"/>
  <c r="AE30" i="18"/>
  <c r="BK30" i="16" l="1"/>
  <c r="BI32" i="16" s="1"/>
  <c r="BH32" i="16" s="1"/>
  <c r="S19" i="18"/>
  <c r="Z19" i="18" s="1"/>
  <c r="BI31" i="16"/>
  <c r="B42" i="21"/>
  <c r="BL8" i="18"/>
  <c r="R20" i="18"/>
  <c r="Q31" i="16" s="1"/>
  <c r="Q21" i="18"/>
  <c r="Q30" i="18" s="1"/>
  <c r="BK31" i="16" l="1"/>
  <c r="Q30" i="16"/>
  <c r="E30" i="16"/>
  <c r="B43" i="21"/>
  <c r="B44" i="21" s="1"/>
  <c r="E25" i="21"/>
  <c r="E26" i="21" s="1"/>
  <c r="R21" i="18"/>
  <c r="R30" i="18" s="1"/>
  <c r="D32" i="16" s="1"/>
  <c r="S20" i="18"/>
  <c r="T20" i="18"/>
  <c r="T21" i="18" s="1"/>
  <c r="T31" i="18" s="1"/>
  <c r="BJ31" i="16"/>
  <c r="BH31" i="16"/>
  <c r="Z20" i="18" l="1"/>
  <c r="Z21" i="18" s="1"/>
  <c r="S21" i="18"/>
  <c r="S30" i="18" s="1"/>
</calcChain>
</file>

<file path=xl/sharedStrings.xml><?xml version="1.0" encoding="utf-8"?>
<sst xmlns="http://schemas.openxmlformats.org/spreadsheetml/2006/main" count="855" uniqueCount="490">
  <si>
    <r>
      <t xml:space="preserve">TAN </t>
    </r>
    <r>
      <rPr>
        <sz val="9"/>
        <color rgb="FF002060"/>
        <rFont val="Calibri"/>
        <family val="2"/>
        <scheme val="minor"/>
      </rPr>
      <t>எண்</t>
    </r>
    <r>
      <rPr>
        <sz val="11"/>
        <color rgb="FF002060"/>
        <rFont val="Calibri"/>
        <family val="2"/>
        <scheme val="minor"/>
      </rPr>
      <t xml:space="preserve"> / </t>
    </r>
    <r>
      <rPr>
        <sz val="9"/>
        <color rgb="FF002060"/>
        <rFont val="Calibri"/>
        <family val="2"/>
        <scheme val="minor"/>
      </rPr>
      <t xml:space="preserve">மூத்தகுடிமக்கள் எனில் </t>
    </r>
    <r>
      <rPr>
        <sz val="11"/>
        <color rgb="FF002060"/>
        <rFont val="Calibri"/>
        <family val="2"/>
        <scheme val="minor"/>
      </rPr>
      <t>Pension ID</t>
    </r>
  </si>
  <si>
    <r>
      <rPr>
        <b/>
        <sz val="12"/>
        <color theme="0"/>
        <rFont val="Calibri"/>
        <family val="2"/>
        <scheme val="minor"/>
      </rPr>
      <t xml:space="preserve">அறிவுச்சாளரம் </t>
    </r>
    <r>
      <rPr>
        <b/>
        <u/>
        <sz val="12"/>
        <color theme="0"/>
        <rFont val="Calibri"/>
        <family val="2"/>
        <scheme val="minor"/>
      </rPr>
      <t xml:space="preserve">வருமானவரிக் கணிப்பான் </t>
    </r>
    <r>
      <rPr>
        <b/>
        <u/>
        <sz val="13"/>
        <color theme="0"/>
        <rFont val="Calibri"/>
        <family val="2"/>
        <scheme val="minor"/>
      </rPr>
      <t>2025</t>
    </r>
  </si>
  <si>
    <t>Version PV 5</t>
  </si>
  <si>
    <t>HEADMASTER</t>
  </si>
  <si>
    <t>பெயர்</t>
  </si>
  <si>
    <t>BACHELOR TEACHER</t>
  </si>
  <si>
    <t>பதவி</t>
  </si>
  <si>
    <t>பழைய &amp; புதிய (U/S.115BAC)  வரிக்கணக்கீட்டு முறைகள்</t>
  </si>
  <si>
    <t>SECONDARY GRADE TEACHER</t>
  </si>
  <si>
    <r>
      <t xml:space="preserve">பிறந்த தேதி </t>
    </r>
    <r>
      <rPr>
        <sz val="11"/>
        <rFont val="Times New Roman"/>
        <family val="1"/>
      </rPr>
      <t>[</t>
    </r>
    <r>
      <rPr>
        <sz val="8"/>
        <color rgb="FFC00000"/>
        <rFont val="Times New Roman"/>
        <family val="1"/>
      </rPr>
      <t xml:space="preserve">எண் மற்றும் </t>
    </r>
    <r>
      <rPr>
        <sz val="11"/>
        <color rgb="FFC00000"/>
        <rFont val="Calibri"/>
        <family val="2"/>
        <scheme val="minor"/>
      </rPr>
      <t>-</t>
    </r>
    <r>
      <rPr>
        <sz val="8"/>
        <color rgb="FFC00000"/>
        <rFont val="Calibri"/>
        <family val="2"/>
        <scheme val="minor"/>
      </rPr>
      <t xml:space="preserve"> அல்லது </t>
    </r>
    <r>
      <rPr>
        <sz val="11"/>
        <color rgb="FFC00000"/>
        <rFont val="Calibri"/>
        <family val="2"/>
        <scheme val="minor"/>
      </rPr>
      <t>/</t>
    </r>
    <r>
      <rPr>
        <sz val="8"/>
        <color rgb="FFC00000"/>
        <rFont val="Times New Roman"/>
        <family val="1"/>
      </rPr>
      <t xml:space="preserve"> குறியீடுகளை மட்டும் பயன்படுத்தவும்</t>
    </r>
    <r>
      <rPr>
        <sz val="11"/>
        <rFont val="Times New Roman"/>
        <family val="1"/>
      </rPr>
      <t>]</t>
    </r>
  </si>
  <si>
    <r>
      <t xml:space="preserve">வெள்ளைக் கட்டங்களில் தரவுகளை உள்ளிட, பழைய &amp; புதிய கணக்கீட்டு முறைகளுக்கான வரி இப்பக்கத்தின் கீழே தோன்றும். தங்களுக்குப் பயனுள்ள முறையை </t>
    </r>
    <r>
      <rPr>
        <u/>
        <sz val="10"/>
        <rFont val="Calibri"/>
        <family val="2"/>
        <scheme val="minor"/>
      </rPr>
      <t>OLD Front</t>
    </r>
    <r>
      <rPr>
        <sz val="10"/>
        <rFont val="Calibri"/>
        <family val="2"/>
        <scheme val="minor"/>
      </rPr>
      <t xml:space="preserve"> &amp; </t>
    </r>
    <r>
      <rPr>
        <u/>
        <sz val="10"/>
        <rFont val="Calibri"/>
        <family val="2"/>
        <scheme val="minor"/>
      </rPr>
      <t>OLD Back</t>
    </r>
    <r>
      <rPr>
        <sz val="10"/>
        <rFont val="Calibri"/>
        <family val="2"/>
        <scheme val="minor"/>
      </rPr>
      <t xml:space="preserve"> / </t>
    </r>
    <r>
      <rPr>
        <u/>
        <sz val="10"/>
        <rFont val="Calibri"/>
        <family val="2"/>
        <scheme val="minor"/>
      </rPr>
      <t>NEW Front</t>
    </r>
    <r>
      <rPr>
        <sz val="10"/>
        <rFont val="Calibri"/>
        <family val="2"/>
        <scheme val="minor"/>
      </rPr>
      <t xml:space="preserve"> &amp; </t>
    </r>
    <r>
      <rPr>
        <u/>
        <sz val="10"/>
        <rFont val="Calibri"/>
        <family val="2"/>
        <scheme val="minor"/>
      </rPr>
      <t>NEW Back</t>
    </r>
    <r>
      <rPr>
        <sz val="10"/>
        <rFont val="Calibri"/>
        <family val="2"/>
        <scheme val="minor"/>
      </rPr>
      <t xml:space="preserve"> sheet-களில் இருந்து A4 தாளில் </t>
    </r>
    <r>
      <rPr>
        <sz val="12"/>
        <rFont val="Calibri"/>
        <family val="2"/>
        <scheme val="minor"/>
      </rPr>
      <t>Print</t>
    </r>
    <r>
      <rPr>
        <sz val="10"/>
        <rFont val="Calibri"/>
        <family val="2"/>
        <scheme val="minor"/>
      </rPr>
      <t xml:space="preserve"> செய்து கொள்ளலாம். தேவையெனில், Pay Drawn தகவல்களை OLD &amp; New Back sheet-களில் திருத்தலாம். </t>
    </r>
    <r>
      <rPr>
        <u/>
        <sz val="10"/>
        <rFont val="Calibri"/>
        <family val="2"/>
        <scheme val="minor"/>
      </rPr>
      <t>இது அனைத்துப் பிரிவினருக்குமான (60-, 60+ &amp; 80+) கணிப்பான் என்பதால் அதற்கேற்ப பிறந்த தேதியை அளிக்கவும்.</t>
    </r>
  </si>
  <si>
    <r>
      <rPr>
        <sz val="11"/>
        <color rgb="FFC00000"/>
        <rFont val="Calibri"/>
        <family val="2"/>
        <scheme val="minor"/>
      </rPr>
      <t>01-APR-2025</t>
    </r>
    <r>
      <rPr>
        <sz val="9"/>
        <color rgb="FFC00000"/>
        <rFont val="Calibri"/>
        <family val="2"/>
        <scheme val="minor"/>
      </rPr>
      <t xml:space="preserve"> </t>
    </r>
    <r>
      <rPr>
        <sz val="8"/>
        <color rgb="FFC00000"/>
        <rFont val="Calibri"/>
        <family val="2"/>
        <scheme val="minor"/>
      </rPr>
      <t xml:space="preserve">நிலவரப்படி பூர்த்தியாகும் வயது </t>
    </r>
  </si>
  <si>
    <t>பள்ளி /  அலுவலகம் / கருவூலத்தின் பெயர்</t>
  </si>
  <si>
    <t>.</t>
  </si>
  <si>
    <t>இடம்</t>
  </si>
  <si>
    <t>PANCHAYAT UNION PRIMARY SCHOOL</t>
  </si>
  <si>
    <r>
      <t xml:space="preserve">PAN </t>
    </r>
    <r>
      <rPr>
        <sz val="9"/>
        <color rgb="FF002060"/>
        <rFont val="Calibri"/>
        <family val="2"/>
        <scheme val="minor"/>
      </rPr>
      <t>எண்</t>
    </r>
  </si>
  <si>
    <t>PANCHAYAT UNION MIDDLE SCHOOL</t>
  </si>
  <si>
    <r>
      <rPr>
        <sz val="9"/>
        <color rgb="FF002060"/>
        <rFont val="Calibri"/>
        <family val="2"/>
        <scheme val="minor"/>
      </rPr>
      <t>ஊதிய உயர்வு மாதம்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1 / 4 / 7 / 10</t>
    </r>
    <r>
      <rPr>
        <sz val="11"/>
        <color rgb="FF002060"/>
        <rFont val="Calibri"/>
        <family val="2"/>
        <scheme val="minor"/>
      </rPr>
      <t>]</t>
    </r>
  </si>
  <si>
    <t>N/A</t>
  </si>
  <si>
    <r>
      <rPr>
        <sz val="9"/>
        <color rgb="FF002060"/>
        <rFont val="Calibri"/>
        <family val="2"/>
        <scheme val="minor"/>
      </rPr>
      <t>ஓய்வூதியத் திட்டம்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CPS = 1 / GPF = 2</t>
    </r>
    <r>
      <rPr>
        <sz val="11"/>
        <color rgb="FF002060"/>
        <rFont val="Calibri"/>
        <family val="2"/>
        <scheme val="minor"/>
      </rPr>
      <t>]</t>
    </r>
  </si>
  <si>
    <r>
      <t>வடிவமைப்பு</t>
    </r>
    <r>
      <rPr>
        <sz val="12"/>
        <color theme="0"/>
        <rFont val="Calibri"/>
        <family val="2"/>
        <scheme val="minor"/>
      </rPr>
      <t xml:space="preserve"> :  </t>
    </r>
    <r>
      <rPr>
        <sz val="11"/>
        <color theme="0"/>
        <rFont val="Calibri"/>
        <family val="2"/>
        <scheme val="minor"/>
      </rPr>
      <t xml:space="preserve">செல்வ.ரஞ்சித் குமார் </t>
    </r>
    <r>
      <rPr>
        <sz val="12"/>
        <color theme="0"/>
        <rFont val="Cambria"/>
        <family val="1"/>
        <scheme val="major"/>
      </rPr>
      <t>- 8807448837</t>
    </r>
  </si>
  <si>
    <r>
      <t xml:space="preserve">HRA </t>
    </r>
    <r>
      <rPr>
        <sz val="9"/>
        <color rgb="FF002060"/>
        <rFont val="Calibri"/>
        <family val="2"/>
        <scheme val="minor"/>
      </rPr>
      <t>பகுதி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GRADE :</t>
    </r>
    <r>
      <rPr>
        <sz val="11"/>
        <color rgb="FF002060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>I (A) / I (B) / II / III / IV</t>
    </r>
    <r>
      <rPr>
        <sz val="11"/>
        <color rgb="FF002060"/>
        <rFont val="Calibri"/>
        <family val="2"/>
        <scheme val="minor"/>
      </rPr>
      <t>]</t>
    </r>
  </si>
  <si>
    <r>
      <rPr>
        <sz val="9"/>
        <color rgb="FF002060"/>
        <rFont val="Calibri"/>
        <family val="2"/>
        <scheme val="minor"/>
      </rPr>
      <t xml:space="preserve">மொத்த வருமானத்தில் </t>
    </r>
    <r>
      <rPr>
        <sz val="11"/>
        <color rgb="FF002060"/>
        <rFont val="Calibri"/>
        <family val="2"/>
        <scheme val="minor"/>
      </rPr>
      <t>HRA</t>
    </r>
    <r>
      <rPr>
        <sz val="9"/>
        <color rgb="FF002060"/>
        <rFont val="Calibri"/>
        <family val="2"/>
        <scheme val="minor"/>
      </rPr>
      <t>-வைக் கழிக்க விருப்பமா?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YES / NO</t>
    </r>
    <r>
      <rPr>
        <sz val="11"/>
        <color rgb="FF002060"/>
        <rFont val="Calibri"/>
        <family val="2"/>
        <scheme val="minor"/>
      </rPr>
      <t>]</t>
    </r>
  </si>
  <si>
    <t>மாத வாடகை</t>
  </si>
  <si>
    <r>
      <rPr>
        <sz val="9"/>
        <color rgb="FF002060"/>
        <rFont val="Calibri"/>
        <family val="2"/>
        <scheme val="minor"/>
      </rPr>
      <t xml:space="preserve">வீட்டுவாடகையாக </t>
    </r>
    <r>
      <rPr>
        <sz val="11"/>
        <color rgb="FF002060"/>
        <rFont val="Calibri"/>
        <family val="2"/>
        <scheme val="minor"/>
      </rPr>
      <t>1</t>
    </r>
    <r>
      <rPr>
        <sz val="9"/>
        <color rgb="FF002060"/>
        <rFont val="Calibri"/>
        <family val="2"/>
        <scheme val="minor"/>
      </rPr>
      <t xml:space="preserve"> இலட்சத்திற்கும்மேல் கழிக்க வேண்டுமா</t>
    </r>
    <r>
      <rPr>
        <sz val="11"/>
        <color rgb="FF002060"/>
        <rFont val="Calibri"/>
        <family val="2"/>
        <scheme val="minor"/>
      </rPr>
      <t>?</t>
    </r>
    <r>
      <rPr>
        <sz val="10"/>
        <color rgb="FF002060"/>
        <rFont val="Calibri"/>
        <family val="2"/>
        <scheme val="minor"/>
      </rPr>
      <t xml:space="preserve"> [</t>
    </r>
    <r>
      <rPr>
        <sz val="10"/>
        <color rgb="FFC00000"/>
        <rFont val="Calibri"/>
        <family val="2"/>
        <scheme val="minor"/>
      </rPr>
      <t>YES / NO</t>
    </r>
    <r>
      <rPr>
        <sz val="10"/>
        <color rgb="FF002060"/>
        <rFont val="Calibri"/>
        <family val="2"/>
        <scheme val="minor"/>
      </rPr>
      <t>]</t>
    </r>
  </si>
  <si>
    <t>I (A)</t>
  </si>
  <si>
    <r>
      <t xml:space="preserve">CPS ARREAR </t>
    </r>
    <r>
      <rPr>
        <sz val="9"/>
        <color theme="8" tint="-0.499984740745262"/>
        <rFont val="Calibri"/>
        <family val="2"/>
        <scheme val="minor"/>
      </rPr>
      <t>பிடித்தம் மட்டும்</t>
    </r>
  </si>
  <si>
    <t>CÂa mâæš  òÂa CÂa é»j«</t>
  </si>
  <si>
    <r>
      <t>Housing Loan &amp; HRA</t>
    </r>
    <r>
      <rPr>
        <sz val="9"/>
        <color rgb="FF002060"/>
        <rFont val="Calibri"/>
        <family val="2"/>
        <scheme val="minor"/>
      </rPr>
      <t xml:space="preserve"> இரண்டையுமே கழிக்க வேண்டுமா</t>
    </r>
    <r>
      <rPr>
        <sz val="11"/>
        <color rgb="FF002060"/>
        <rFont val="Calibri"/>
        <family val="2"/>
        <scheme val="minor"/>
      </rPr>
      <t>?</t>
    </r>
    <r>
      <rPr>
        <sz val="10"/>
        <color rgb="FF002060"/>
        <rFont val="Calibri"/>
        <family val="2"/>
        <scheme val="minor"/>
      </rPr>
      <t xml:space="preserve"> [</t>
    </r>
    <r>
      <rPr>
        <sz val="10"/>
        <color rgb="FFC00000"/>
        <rFont val="Calibri"/>
        <family val="2"/>
        <scheme val="minor"/>
      </rPr>
      <t>YES / NO</t>
    </r>
    <r>
      <rPr>
        <sz val="10"/>
        <color rgb="FF002060"/>
        <rFont val="Calibri"/>
        <family val="2"/>
        <scheme val="minor"/>
      </rPr>
      <t>]</t>
    </r>
  </si>
  <si>
    <t>I (B)</t>
  </si>
  <si>
    <t>YES</t>
  </si>
  <si>
    <t>GPF SUBSCRIPTIONS</t>
  </si>
  <si>
    <r>
      <rPr>
        <sz val="9"/>
        <color rgb="FF002060"/>
        <rFont val="Calibri"/>
        <family val="2"/>
        <scheme val="minor"/>
      </rPr>
      <t xml:space="preserve">வருமான வரியை </t>
    </r>
    <r>
      <rPr>
        <sz val="11"/>
        <color rgb="FF002060"/>
        <rFont val="Calibri"/>
        <family val="2"/>
        <scheme val="minor"/>
      </rPr>
      <t>10-</t>
    </r>
    <r>
      <rPr>
        <sz val="9"/>
        <color rgb="FF002060"/>
        <rFont val="Calibri"/>
        <family val="2"/>
        <scheme val="minor"/>
      </rPr>
      <t xml:space="preserve">ன் முழுமையாக்க </t>
    </r>
    <r>
      <rPr>
        <sz val="11"/>
        <color rgb="FF002060"/>
        <rFont val="Calibri"/>
        <family val="2"/>
        <scheme val="minor"/>
      </rPr>
      <t>(SEC.288B)</t>
    </r>
    <r>
      <rPr>
        <sz val="9"/>
        <color rgb="FF002060"/>
        <rFont val="Calibri"/>
        <family val="2"/>
        <scheme val="minor"/>
      </rPr>
      <t xml:space="preserve"> வேண்டுமா</t>
    </r>
    <r>
      <rPr>
        <sz val="11"/>
        <color rgb="FF002060"/>
        <rFont val="Calibri"/>
        <family val="2"/>
        <scheme val="minor"/>
      </rPr>
      <t>?</t>
    </r>
    <r>
      <rPr>
        <sz val="10"/>
        <color rgb="FF002060"/>
        <rFont val="Calibri"/>
        <family val="2"/>
        <scheme val="minor"/>
      </rPr>
      <t xml:space="preserve"> [</t>
    </r>
    <r>
      <rPr>
        <sz val="10"/>
        <color rgb="FFC00000"/>
        <rFont val="Calibri"/>
        <family val="2"/>
        <scheme val="minor"/>
      </rPr>
      <t>YES / NO</t>
    </r>
    <r>
      <rPr>
        <sz val="10"/>
        <color rgb="FF002060"/>
        <rFont val="Calibri"/>
        <family val="2"/>
        <scheme val="minor"/>
      </rPr>
      <t>]</t>
    </r>
  </si>
  <si>
    <t>II</t>
  </si>
  <si>
    <t>NO</t>
  </si>
  <si>
    <r>
      <rPr>
        <sz val="9"/>
        <color rgb="FF002060"/>
        <rFont val="Calibri"/>
        <family val="2"/>
        <scheme val="minor"/>
      </rPr>
      <t>தாங்கள் மாற்றுத்திறனாளி எனில்</t>
    </r>
    <r>
      <rPr>
        <sz val="6"/>
        <color rgb="FF002060"/>
        <rFont val="Calibri"/>
        <family val="2"/>
        <scheme val="minor"/>
      </rPr>
      <t xml:space="preserve"> </t>
    </r>
    <r>
      <rPr>
        <sz val="11"/>
        <color rgb="FF002060"/>
        <rFont val="Calibri"/>
        <family val="2"/>
        <scheme val="minor"/>
      </rPr>
      <t>% : [</t>
    </r>
    <r>
      <rPr>
        <sz val="11"/>
        <color rgb="FFC00000"/>
        <rFont val="Calibri"/>
        <family val="2"/>
        <scheme val="minor"/>
      </rPr>
      <t>40-79% = 1,  80% &amp; above = 2</t>
    </r>
    <r>
      <rPr>
        <sz val="11"/>
        <color rgb="FF002060"/>
        <rFont val="Calibri"/>
        <family val="2"/>
        <scheme val="minor"/>
      </rPr>
      <t>]</t>
    </r>
  </si>
  <si>
    <t>III</t>
  </si>
  <si>
    <r>
      <rPr>
        <sz val="8.5"/>
        <color rgb="FF002060"/>
        <rFont val="Calibri"/>
        <family val="2"/>
        <scheme val="minor"/>
      </rPr>
      <t xml:space="preserve">குடும்ப உறுப்பினர் மாற்றுத்திறனாளி எனில் </t>
    </r>
    <r>
      <rPr>
        <sz val="11"/>
        <color rgb="FF002060"/>
        <rFont val="Calibri"/>
        <family val="2"/>
        <scheme val="minor"/>
      </rPr>
      <t>% : [</t>
    </r>
    <r>
      <rPr>
        <sz val="11"/>
        <color rgb="FFC00000"/>
        <rFont val="Calibri"/>
        <family val="2"/>
        <scheme val="minor"/>
      </rPr>
      <t>40-79% = 1,  80% &amp; above = 2</t>
    </r>
    <r>
      <rPr>
        <sz val="11"/>
        <color rgb="FF002060"/>
        <rFont val="Calibri"/>
        <family val="2"/>
        <scheme val="minor"/>
      </rPr>
      <t>]</t>
    </r>
  </si>
  <si>
    <t>IV</t>
  </si>
  <si>
    <r>
      <rPr>
        <sz val="9"/>
        <color rgb="FF002060"/>
        <rFont val="Calibri"/>
        <family val="2"/>
        <scheme val="minor"/>
      </rPr>
      <t>மிக்ஜாம் புயல் நிவாரண ஒரு நாள் ஊதியம் பிடிக்கப்பட்டதா?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YES / NO</t>
    </r>
    <r>
      <rPr>
        <sz val="11"/>
        <color rgb="FF002060"/>
        <rFont val="Calibri"/>
        <family val="2"/>
        <scheme val="minor"/>
      </rPr>
      <t>]</t>
    </r>
  </si>
  <si>
    <r>
      <t xml:space="preserve">PAY DETAILS for </t>
    </r>
    <r>
      <rPr>
        <sz val="13"/>
        <color rgb="FF002060"/>
        <rFont val="Calibri"/>
        <family val="2"/>
        <scheme val="minor"/>
      </rPr>
      <t>MARCH - 2024</t>
    </r>
  </si>
  <si>
    <t>BASIC PAY</t>
  </si>
  <si>
    <t xml:space="preserve">P.P </t>
  </si>
  <si>
    <t>HRA</t>
  </si>
  <si>
    <t>MA</t>
  </si>
  <si>
    <t>Special PAY</t>
  </si>
  <si>
    <t>SPL ALLOW.</t>
  </si>
  <si>
    <t>CCA / Other Allow</t>
  </si>
  <si>
    <t>OFFICE DEDUCTIONS</t>
  </si>
  <si>
    <t>HF (NHIS)</t>
  </si>
  <si>
    <t>FBF</t>
  </si>
  <si>
    <t>SPF</t>
  </si>
  <si>
    <r>
      <t>PLI</t>
    </r>
    <r>
      <rPr>
        <sz val="9"/>
        <color rgb="FF002060"/>
        <rFont val="Calibri"/>
        <family val="2"/>
        <scheme val="minor"/>
      </rPr>
      <t xml:space="preserve"> (</t>
    </r>
    <r>
      <rPr>
        <sz val="9"/>
        <color rgb="FFC00000"/>
        <rFont val="Calibri"/>
        <family val="2"/>
        <scheme val="minor"/>
      </rPr>
      <t>inc. tax</t>
    </r>
    <r>
      <rPr>
        <sz val="9"/>
        <color rgb="FF002060"/>
        <rFont val="Calibri"/>
        <family val="2"/>
        <scheme val="minor"/>
      </rPr>
      <t>)</t>
    </r>
  </si>
  <si>
    <r>
      <t>LIC</t>
    </r>
    <r>
      <rPr>
        <sz val="9"/>
        <color rgb="FF002060"/>
        <rFont val="Calibri"/>
        <family val="2"/>
        <scheme val="minor"/>
      </rPr>
      <t xml:space="preserve"> (</t>
    </r>
    <r>
      <rPr>
        <sz val="9"/>
        <color rgb="FFC00000"/>
        <rFont val="Calibri"/>
        <family val="2"/>
        <scheme val="minor"/>
      </rPr>
      <t>inc. tax</t>
    </r>
    <r>
      <rPr>
        <sz val="9"/>
        <color rgb="FF002060"/>
        <rFont val="Calibri"/>
        <family val="2"/>
        <scheme val="minor"/>
      </rPr>
      <t>)</t>
    </r>
  </si>
  <si>
    <r>
      <t xml:space="preserve">(PLI / LIC </t>
    </r>
    <r>
      <rPr>
        <sz val="9"/>
        <color rgb="FFC00000"/>
        <rFont val="Calibri"/>
        <family val="2"/>
        <scheme val="minor"/>
      </rPr>
      <t>ஊதியத்தில் பிடிப்பது மட்டும்</t>
    </r>
    <r>
      <rPr>
        <sz val="11"/>
        <color rgb="FFC00000"/>
        <rFont val="Calibri"/>
        <family val="2"/>
        <scheme val="minor"/>
      </rPr>
      <t>)</t>
    </r>
  </si>
  <si>
    <t>MAR'24</t>
  </si>
  <si>
    <t>APR'24</t>
  </si>
  <si>
    <t>MAY'24</t>
  </si>
  <si>
    <t>JUNE'24</t>
  </si>
  <si>
    <t>JULY'24</t>
  </si>
  <si>
    <t>AUG'24</t>
  </si>
  <si>
    <t>SEP'24</t>
  </si>
  <si>
    <t>OCT'24</t>
  </si>
  <si>
    <t>NOV'24</t>
  </si>
  <si>
    <t>DEC'24</t>
  </si>
  <si>
    <t>JAN'25</t>
  </si>
  <si>
    <t>FEB'25</t>
  </si>
  <si>
    <t xml:space="preserve">D.A % </t>
  </si>
  <si>
    <r>
      <rPr>
        <sz val="12"/>
        <color rgb="FF002060"/>
        <rFont val="Calibri"/>
        <family val="2"/>
        <scheme val="minor"/>
      </rPr>
      <t xml:space="preserve">I.T deducted </t>
    </r>
    <r>
      <rPr>
        <sz val="11"/>
        <color rgb="FF002060"/>
        <rFont val="Calibri"/>
        <family val="2"/>
        <scheme val="minor"/>
      </rPr>
      <t>(</t>
    </r>
    <r>
      <rPr>
        <sz val="11"/>
        <color rgb="FFC00000"/>
        <rFont val="Calibri"/>
        <family val="2"/>
        <scheme val="minor"/>
      </rPr>
      <t xml:space="preserve">4% CESS </t>
    </r>
    <r>
      <rPr>
        <sz val="10"/>
        <color rgb="FFC00000"/>
        <rFont val="Calibri"/>
        <family val="2"/>
        <scheme val="minor"/>
      </rPr>
      <t>நீங்கலாக</t>
    </r>
    <r>
      <rPr>
        <sz val="11"/>
        <color rgb="FF002060"/>
        <rFont val="Calibri"/>
        <family val="2"/>
        <scheme val="minor"/>
      </rPr>
      <t>)</t>
    </r>
  </si>
  <si>
    <r>
      <rPr>
        <b/>
        <sz val="10"/>
        <color rgb="FF002060"/>
        <rFont val="Calibri"/>
        <family val="2"/>
        <scheme val="minor"/>
      </rPr>
      <t>10(14) Exemption :</t>
    </r>
    <r>
      <rPr>
        <sz val="10"/>
        <color rgb="FF002060"/>
        <rFont val="Calibri"/>
        <family val="2"/>
        <scheme val="minor"/>
      </rPr>
      <t xml:space="preserve"> </t>
    </r>
    <r>
      <rPr>
        <sz val="9"/>
        <color rgb="FFC00000"/>
        <rFont val="Calibri"/>
        <family val="2"/>
        <scheme val="minor"/>
      </rPr>
      <t>(Grand totlal of Conveyance &amp; Compensatory Allow.)</t>
    </r>
  </si>
  <si>
    <t>PONGAL BONUS</t>
  </si>
  <si>
    <t>HOUSING LOAN</t>
  </si>
  <si>
    <t>PROFESSIONAL TAX</t>
  </si>
  <si>
    <t>INTEREST</t>
  </si>
  <si>
    <t>PRINCIPAL</t>
  </si>
  <si>
    <t>1st Half</t>
  </si>
  <si>
    <t>2nd Half</t>
  </si>
  <si>
    <r>
      <rPr>
        <b/>
        <sz val="11"/>
        <color theme="3" tint="-0.499984740745262"/>
        <rFont val="Calibri"/>
        <family val="2"/>
        <scheme val="minor"/>
      </rPr>
      <t>89 (1)</t>
    </r>
    <r>
      <rPr>
        <sz val="11"/>
        <color theme="3" tint="-0.499984740745262"/>
        <rFont val="Calibri"/>
        <family val="2"/>
        <scheme val="minor"/>
      </rPr>
      <t xml:space="preserve"> Tax relief on past year Salary Arrear (in Form 10E)</t>
    </r>
  </si>
  <si>
    <r>
      <t xml:space="preserve">ARREAR DETAILS  : </t>
    </r>
    <r>
      <rPr>
        <sz val="12"/>
        <color rgb="FFC00000"/>
        <rFont val="Calibri"/>
        <family val="2"/>
        <scheme val="minor"/>
      </rPr>
      <t>DA / INCENTIVE / SELECTION GRADE / SPECIAL GRADE/ JACTTO-GEO etc.,</t>
    </r>
  </si>
  <si>
    <t>NAME OF THE ARREAR</t>
  </si>
  <si>
    <t>PAY</t>
  </si>
  <si>
    <t>G.P</t>
  </si>
  <si>
    <t>P.P / S.P</t>
  </si>
  <si>
    <t>D . A</t>
  </si>
  <si>
    <t>H.R.A</t>
  </si>
  <si>
    <t>M.A</t>
  </si>
  <si>
    <t>OTHER Allow.</t>
  </si>
  <si>
    <r>
      <rPr>
        <b/>
        <sz val="9"/>
        <color rgb="FFFF0000"/>
        <rFont val="Calibri"/>
        <family val="2"/>
        <scheme val="minor"/>
      </rPr>
      <t>Tax</t>
    </r>
    <r>
      <rPr>
        <sz val="9"/>
        <color rgb="FF002060"/>
        <rFont val="Calibri"/>
        <family val="2"/>
        <scheme val="minor"/>
      </rPr>
      <t xml:space="preserve"> </t>
    </r>
    <r>
      <rPr>
        <sz val="8"/>
        <color rgb="FF002060"/>
        <rFont val="Calibri"/>
        <family val="2"/>
        <scheme val="minor"/>
      </rPr>
      <t>(</t>
    </r>
    <r>
      <rPr>
        <sz val="8"/>
        <color rgb="FFC00000"/>
        <rFont val="Calibri"/>
        <family val="2"/>
        <scheme val="minor"/>
      </rPr>
      <t>expt.cess</t>
    </r>
    <r>
      <rPr>
        <sz val="8"/>
        <color rgb="FF002060"/>
        <rFont val="Calibri"/>
        <family val="2"/>
        <scheme val="minor"/>
      </rPr>
      <t>)</t>
    </r>
  </si>
  <si>
    <t>CPS</t>
  </si>
  <si>
    <t>DA ARR 3M</t>
  </si>
  <si>
    <t xml:space="preserve">DEDUCTIONS UNDER CHAPTER VI-A </t>
  </si>
  <si>
    <t>t</t>
  </si>
  <si>
    <t>80.CCC AMOUNT DEPOSITED ANY ANNUITY [OR] PENSION PLAN OF LIC</t>
  </si>
  <si>
    <t>80E</t>
  </si>
  <si>
    <t>80DDB</t>
  </si>
  <si>
    <t>80D : Family members' Insurance (Except NHIS/HF)</t>
  </si>
  <si>
    <t>tp</t>
  </si>
  <si>
    <t>tpp+</t>
  </si>
  <si>
    <t>80.CCD(1B) Investment in NPS (which is over and above of 80c 1,50,000)</t>
  </si>
  <si>
    <t>80EEA</t>
  </si>
  <si>
    <t>80G</t>
  </si>
  <si>
    <r>
      <rPr>
        <sz val="11"/>
        <color theme="8" tint="0.79998168889431442"/>
        <rFont val="Calibri"/>
        <family val="2"/>
        <scheme val="minor"/>
      </rPr>
      <t xml:space="preserve">80D : </t>
    </r>
    <r>
      <rPr>
        <sz val="11"/>
        <color theme="3" tint="-0.499984740745262"/>
        <rFont val="Calibri"/>
        <family val="2"/>
        <scheme val="minor"/>
      </rPr>
      <t>Parent Insurance (below 60yrs)</t>
    </r>
  </si>
  <si>
    <t>tp+</t>
  </si>
  <si>
    <t>tppe</t>
  </si>
  <si>
    <r>
      <t xml:space="preserve">80.CCD(2) Govt contribution in NPS </t>
    </r>
    <r>
      <rPr>
        <sz val="9"/>
        <color rgb="FF002060"/>
        <rFont val="Calibri"/>
        <family val="2"/>
        <scheme val="minor"/>
      </rPr>
      <t>(</t>
    </r>
    <r>
      <rPr>
        <b/>
        <sz val="8"/>
        <color rgb="FFC00000"/>
        <rFont val="Calibri"/>
        <family val="2"/>
        <scheme val="minor"/>
      </rPr>
      <t>வருமானத்தில் சேர்த்திருந்தால் மட்டும்</t>
    </r>
    <r>
      <rPr>
        <sz val="9"/>
        <color rgb="FF002060"/>
        <rFont val="Calibri"/>
        <family val="2"/>
        <scheme val="minor"/>
      </rPr>
      <t>)</t>
    </r>
  </si>
  <si>
    <t>80EEB</t>
  </si>
  <si>
    <t>80GGA</t>
  </si>
  <si>
    <r>
      <rPr>
        <sz val="11"/>
        <color theme="8" tint="0.79998168889431442"/>
        <rFont val="Calibri"/>
        <family val="2"/>
        <scheme val="minor"/>
      </rPr>
      <t>80D :</t>
    </r>
    <r>
      <rPr>
        <sz val="11"/>
        <color theme="3" tint="-0.499984740745262"/>
        <rFont val="Calibri"/>
        <family val="2"/>
        <scheme val="minor"/>
      </rPr>
      <t xml:space="preserve"> Parent Insurance (above 60yrs)</t>
    </r>
  </si>
  <si>
    <t>tpe</t>
  </si>
  <si>
    <t>tp+pe</t>
  </si>
  <si>
    <t>80.CCF Infrastructure Bonds (which is over and above of 80c 1,50,000)</t>
  </si>
  <si>
    <t>OTHERS</t>
  </si>
  <si>
    <t>80GGC</t>
  </si>
  <si>
    <r>
      <rPr>
        <sz val="10"/>
        <color theme="8" tint="0.79998168889431442"/>
        <rFont val="Calibri"/>
        <family val="2"/>
        <scheme val="minor"/>
      </rPr>
      <t xml:space="preserve">80D : </t>
    </r>
    <r>
      <rPr>
        <sz val="10"/>
        <color theme="3" tint="-0.499984740745262"/>
        <rFont val="Calibri"/>
        <family val="2"/>
        <scheme val="minor"/>
      </rPr>
      <t xml:space="preserve">Non Insured Parent Medical Expenditure </t>
    </r>
    <r>
      <rPr>
        <sz val="11"/>
        <color theme="3" tint="-0.499984740745262"/>
        <rFont val="Calibri"/>
        <family val="2"/>
        <scheme val="minor"/>
      </rPr>
      <t>(</t>
    </r>
    <r>
      <rPr>
        <sz val="9"/>
        <color theme="3" tint="-0.499984740745262"/>
        <rFont val="Calibri"/>
        <family val="2"/>
        <scheme val="minor"/>
      </rPr>
      <t>above 60yrs</t>
    </r>
    <r>
      <rPr>
        <sz val="11"/>
        <color theme="3" tint="-0.499984740745262"/>
        <rFont val="Calibri"/>
        <family val="2"/>
        <scheme val="minor"/>
      </rPr>
      <t>)</t>
    </r>
  </si>
  <si>
    <r>
      <t>U/S 80 CCD(1b)</t>
    </r>
    <r>
      <rPr>
        <i/>
        <sz val="9"/>
        <color rgb="FF002060"/>
        <rFont val="Calibri"/>
        <family val="2"/>
        <scheme val="minor"/>
      </rPr>
      <t xml:space="preserve"> CPS HOLDERS: Cross 1,50,000 &amp; above in 80C fill "50,000" here </t>
    </r>
  </si>
  <si>
    <r>
      <t>SURRENDER DAYS (</t>
    </r>
    <r>
      <rPr>
        <sz val="11"/>
        <color rgb="FFC00000"/>
        <rFont val="Calibri"/>
        <family val="2"/>
        <scheme val="minor"/>
      </rPr>
      <t>0 / 15 / 30</t>
    </r>
    <r>
      <rPr>
        <sz val="11"/>
        <color rgb="FF002060"/>
        <rFont val="Calibri"/>
        <family val="2"/>
        <scheme val="minor"/>
      </rPr>
      <t>)</t>
    </r>
  </si>
  <si>
    <t>SURRENDER CLAIMED MONTH No.</t>
  </si>
  <si>
    <t>IF YOUR SURRENDER MONTH IS  JANUARY / FEBRUARY, DID YOU RECEIVE IN 2020 JANUARY / FEBRUARY? [Yes:1 No:0]</t>
  </si>
  <si>
    <t>IF YES SURRENDER DAYS (15 / 30)</t>
  </si>
  <si>
    <t>D.A ARREAR - 1 (Including  CPS)</t>
  </si>
  <si>
    <t>D.A ARREAR - 2 (Including CPS)</t>
  </si>
  <si>
    <r>
      <t xml:space="preserve">ஊதியத்தில் நேரடியாகப் பிடித்தம் செய்யப்படாத </t>
    </r>
    <r>
      <rPr>
        <b/>
        <sz val="12"/>
        <color theme="0"/>
        <rFont val="Calibri"/>
        <family val="2"/>
        <scheme val="minor"/>
      </rPr>
      <t>80.C</t>
    </r>
    <r>
      <rPr>
        <b/>
        <sz val="11"/>
        <color theme="0"/>
        <rFont val="Calibri"/>
        <family val="2"/>
        <scheme val="minor"/>
      </rPr>
      <t xml:space="preserve">  தொடர்பான மற்ற சேமிப்புகளை /  செலவுகளை மட்டும் கீழே உள்ளிடவும்</t>
    </r>
  </si>
  <si>
    <t>PARTICULARS OF INSURANCE (LIC / PLI / RPLI etc) PREMIUM OR SAVINGS FOR THIS ANNUM</t>
  </si>
  <si>
    <t>PARTICULARS OF N.S.C</t>
  </si>
  <si>
    <t>DETAILS</t>
  </si>
  <si>
    <t>PREMIUM</t>
  </si>
  <si>
    <t>POST OFFICE NAME</t>
  </si>
  <si>
    <t>N.S.C No.</t>
  </si>
  <si>
    <t xml:space="preserve">AMOUNT </t>
  </si>
  <si>
    <t xml:space="preserve"> INTEREST </t>
  </si>
  <si>
    <t>TUTION FEES DURING THE YEAR 2024-2025</t>
  </si>
  <si>
    <t>Your Income Tax in 2024-25</t>
  </si>
  <si>
    <t>NAME OF THE CHILD</t>
  </si>
  <si>
    <t>NAME OF THE INSTITUTION</t>
  </si>
  <si>
    <t>DATE</t>
  </si>
  <si>
    <t>RECEIPT NO.</t>
  </si>
  <si>
    <t>AMOUNT</t>
  </si>
  <si>
    <t>OLD REGIME</t>
  </si>
  <si>
    <t>NEW REGIME</t>
  </si>
  <si>
    <r>
      <rPr>
        <sz val="11"/>
        <color indexed="8"/>
        <rFont val="Calibri"/>
        <family val="2"/>
        <scheme val="minor"/>
      </rPr>
      <t xml:space="preserve">Festival Advance </t>
    </r>
    <r>
      <rPr>
        <sz val="11"/>
        <color indexed="10"/>
        <rFont val="Calibri"/>
        <family val="2"/>
        <scheme val="minor"/>
      </rPr>
      <t>per month</t>
    </r>
  </si>
  <si>
    <t>FINANCIAL YEAR : 2024 - 2025</t>
  </si>
  <si>
    <t>ASSESSMENT YEAR : 2025 -2026</t>
  </si>
  <si>
    <t xml:space="preserve">PAN No.      </t>
  </si>
  <si>
    <t xml:space="preserve"> : </t>
  </si>
  <si>
    <t xml:space="preserve"> </t>
  </si>
  <si>
    <t xml:space="preserve"> - </t>
  </si>
  <si>
    <t>S.NO</t>
  </si>
  <si>
    <t>TOTAL SALARY (INCOME INCLUDING ALLOWANCES)</t>
  </si>
  <si>
    <t>INCOME FROM OTHER SOURCES</t>
  </si>
  <si>
    <t xml:space="preserve">H.R.A EXEMPTED THE AMOUNT OF EXEMPTION SHALL BE THE LEAST OF a &amp; b </t>
  </si>
  <si>
    <t xml:space="preserve">     ii) 10% OF SALARY (PAY +DA)                                                                                    </t>
  </si>
  <si>
    <t xml:space="preserve">   iii) DIFFERENCE [(I) - (II)]                                                                     </t>
  </si>
  <si>
    <r>
      <t xml:space="preserve"> i) LESS  </t>
    </r>
    <r>
      <rPr>
        <sz val="11"/>
        <color indexed="8"/>
        <rFont val="Calibri"/>
        <family val="2"/>
        <scheme val="minor"/>
      </rPr>
      <t xml:space="preserve">PROFESSIONAL TAX - U/S 16 (iii) </t>
    </r>
  </si>
  <si>
    <r>
      <t xml:space="preserve">ii) LESS </t>
    </r>
    <r>
      <rPr>
        <sz val="11"/>
        <color indexed="8"/>
        <rFont val="Calibri"/>
        <family val="2"/>
        <scheme val="minor"/>
      </rPr>
      <t>STANDARD DEDUCTION RS. 50000 - U/S 16 (ia)</t>
    </r>
  </si>
  <si>
    <r>
      <t xml:space="preserve">iii) LESS </t>
    </r>
    <r>
      <rPr>
        <sz val="11"/>
        <color indexed="8"/>
        <rFont val="Calibri"/>
        <family val="2"/>
        <scheme val="minor"/>
      </rPr>
      <t>CONVEYANCE / COMPENSATORY ALLOWANCE - U/S 10(14)</t>
    </r>
  </si>
  <si>
    <r>
      <t xml:space="preserve">LESS </t>
    </r>
    <r>
      <rPr>
        <sz val="11"/>
        <color indexed="8"/>
        <rFont val="Calibri"/>
        <family val="2"/>
        <scheme val="minor"/>
      </rPr>
      <t>INTEREST ON HOUSING LOAN U/S 24(b) Max Rs.2,00,000</t>
    </r>
  </si>
  <si>
    <t>SALARY AFTER GIVING RELIEF UNDER THE HEAD H.R.A [COL. 1 - (2+3 +4)]</t>
  </si>
  <si>
    <t xml:space="preserve">DEDUCTION UNDER CHAPTER VI-A </t>
  </si>
  <si>
    <r>
      <rPr>
        <b/>
        <sz val="11"/>
        <color indexed="8"/>
        <rFont val="Calibri"/>
        <family val="2"/>
        <scheme val="minor"/>
      </rPr>
      <t>[i]</t>
    </r>
    <r>
      <rPr>
        <sz val="11"/>
        <color indexed="8"/>
        <rFont val="Calibri"/>
        <family val="2"/>
        <scheme val="minor"/>
      </rPr>
      <t xml:space="preserve">  DEDUCTIONS UNDER SECTION 80/C</t>
    </r>
  </si>
  <si>
    <t>1.  G.P.F / T.P.F</t>
  </si>
  <si>
    <t>2.  S.P.F</t>
  </si>
  <si>
    <t>3.  F.B.F</t>
  </si>
  <si>
    <t>4.  L.I.C (including Family)</t>
  </si>
  <si>
    <t>9.  N.S.C</t>
  </si>
  <si>
    <t>10.  N.S.C ACCRUED INTEREST</t>
  </si>
  <si>
    <t>11.  REFUND OF H.B.A [PRINCIPAL] ONLY</t>
  </si>
  <si>
    <t>12.  TUITION FEES</t>
  </si>
  <si>
    <t>13.  OTHERS</t>
  </si>
  <si>
    <t>TOTAL UNDER NEW SECTION 80 C</t>
  </si>
  <si>
    <r>
      <rPr>
        <b/>
        <sz val="11"/>
        <color indexed="8"/>
        <rFont val="Calibri"/>
        <family val="2"/>
        <scheme val="minor"/>
      </rPr>
      <t xml:space="preserve">[ii] </t>
    </r>
    <r>
      <rPr>
        <sz val="11"/>
        <color indexed="8"/>
        <rFont val="Calibri"/>
        <family val="2"/>
        <scheme val="minor"/>
      </rPr>
      <t>U/S 80.CCC : PREMIUM PAID FOR ANNUITY PLAN OF INSURER [Max. Rs.10,000]</t>
    </r>
  </si>
  <si>
    <r>
      <rPr>
        <b/>
        <sz val="11"/>
        <color indexed="8"/>
        <rFont val="Calibri"/>
        <family val="2"/>
        <scheme val="minor"/>
      </rPr>
      <t xml:space="preserve">[iii] </t>
    </r>
    <r>
      <rPr>
        <sz val="11"/>
        <color indexed="8"/>
        <rFont val="Calibri"/>
        <family val="2"/>
        <scheme val="minor"/>
      </rPr>
      <t>U/S 80 CCD(1) : CPS / NPS (up to 10% of Salary)</t>
    </r>
  </si>
  <si>
    <r>
      <rPr>
        <b/>
        <sz val="11"/>
        <color indexed="8"/>
        <rFont val="Calibri"/>
        <family val="2"/>
        <scheme val="minor"/>
      </rPr>
      <t xml:space="preserve">[iv] </t>
    </r>
    <r>
      <rPr>
        <sz val="11"/>
        <color indexed="8"/>
        <rFont val="Calibri"/>
        <family val="2"/>
        <scheme val="minor"/>
      </rPr>
      <t>U/S 80 CCD(1B) : Contrib. to National Pension Scheme (Max. Rs.50,000)</t>
    </r>
  </si>
  <si>
    <r>
      <rPr>
        <b/>
        <sz val="11"/>
        <color indexed="8"/>
        <rFont val="Calibri"/>
        <family val="2"/>
        <scheme val="minor"/>
      </rPr>
      <t>[v]</t>
    </r>
    <r>
      <rPr>
        <sz val="11"/>
        <color indexed="8"/>
        <rFont val="Calibri"/>
        <family val="2"/>
        <scheme val="minor"/>
      </rPr>
      <t xml:space="preserve">  U/S 80.CCF : Infrastructure Bonds(over &amp; above of 80C 1.5L) Max- Rs.20,000</t>
    </r>
  </si>
  <si>
    <r>
      <rPr>
        <b/>
        <sz val="11"/>
        <color indexed="8"/>
        <rFont val="Calibri"/>
        <family val="2"/>
        <scheme val="minor"/>
      </rPr>
      <t xml:space="preserve">[vi] </t>
    </r>
    <r>
      <rPr>
        <sz val="11"/>
        <color indexed="8"/>
        <rFont val="Calibri"/>
        <family val="2"/>
        <scheme val="minor"/>
      </rPr>
      <t>U/S 80 CCD(2) : Govt Contrib. in National Pension Scheme</t>
    </r>
  </si>
  <si>
    <r>
      <rPr>
        <b/>
        <sz val="11"/>
        <color indexed="8"/>
        <rFont val="Calibri"/>
        <family val="2"/>
        <scheme val="minor"/>
      </rPr>
      <t>[vii]</t>
    </r>
    <r>
      <rPr>
        <sz val="11"/>
        <color indexed="8"/>
        <rFont val="Calibri"/>
        <family val="2"/>
        <scheme val="minor"/>
      </rPr>
      <t xml:space="preserve"> U/S 80D : Family Medical Insurance [25,000] + Parent Medical Insurance (Below 60yrs [25,000] / Above 60yrs [50,000]) / Parent Medical Expenditure (Above 60Yrs) [50,000]</t>
    </r>
  </si>
  <si>
    <r>
      <rPr>
        <b/>
        <sz val="11"/>
        <color indexed="8"/>
        <rFont val="Calibri"/>
        <family val="2"/>
        <scheme val="minor"/>
      </rPr>
      <t>[viii]</t>
    </r>
    <r>
      <rPr>
        <sz val="11"/>
        <color indexed="8"/>
        <rFont val="Calibri"/>
        <family val="2"/>
        <scheme val="minor"/>
      </rPr>
      <t xml:space="preserve"> U/S 80 DD : EXPENSES ON MEDICAL TREATMENT etc. &amp; DEPOSIT MADE FOR MAINTAINANCE OF DIFFERENTLY ABLED DEPENDENTS [40%-79%: 75,000. 80% &amp; Above: 1,25,000] </t>
    </r>
    <r>
      <rPr>
        <i/>
        <sz val="11"/>
        <color indexed="8"/>
        <rFont val="Calibri"/>
        <family val="2"/>
        <scheme val="minor"/>
      </rPr>
      <t>(File 10IA)</t>
    </r>
  </si>
  <si>
    <r>
      <rPr>
        <b/>
        <sz val="11"/>
        <color indexed="8"/>
        <rFont val="Calibri"/>
        <family val="2"/>
        <scheme val="minor"/>
      </rPr>
      <t>[ix]</t>
    </r>
    <r>
      <rPr>
        <sz val="11"/>
        <color indexed="8"/>
        <rFont val="Calibri"/>
        <family val="2"/>
        <scheme val="minor"/>
      </rPr>
      <t xml:space="preserve"> U/S 80 DDB : </t>
    </r>
    <r>
      <rPr>
        <sz val="10"/>
        <color indexed="8"/>
        <rFont val="Calibri"/>
        <family val="2"/>
        <scheme val="minor"/>
      </rPr>
      <t>TREATMENT OF SPECIFIED DISEASES [Below 60yrs 40,000. Above 60yrs 1,00,000]</t>
    </r>
  </si>
  <si>
    <r>
      <rPr>
        <b/>
        <sz val="11"/>
        <color indexed="8"/>
        <rFont val="Calibri"/>
        <family val="2"/>
        <scheme val="minor"/>
      </rPr>
      <t>[x]</t>
    </r>
    <r>
      <rPr>
        <sz val="11"/>
        <color indexed="8"/>
        <rFont val="Calibri"/>
        <family val="2"/>
        <scheme val="minor"/>
      </rPr>
      <t xml:space="preserve"> U/S 80 E : INTEREST on Education Loan of Assessee, Spouse &amp; Child. (MAX.8YRS) [100%]                           </t>
    </r>
  </si>
  <si>
    <r>
      <rPr>
        <b/>
        <sz val="11"/>
        <color indexed="8"/>
        <rFont val="Calibri"/>
        <family val="2"/>
        <scheme val="minor"/>
      </rPr>
      <t>[xi]</t>
    </r>
    <r>
      <rPr>
        <sz val="11"/>
        <color indexed="8"/>
        <rFont val="Calibri"/>
        <family val="2"/>
        <scheme val="minor"/>
      </rPr>
      <t xml:space="preserve"> U/S 80 EEA : INTEREST on home loan for affordable housing (1st-time buyer - Max 1.5L)</t>
    </r>
  </si>
  <si>
    <r>
      <rPr>
        <b/>
        <sz val="11"/>
        <color theme="1"/>
        <rFont val="Calibri"/>
        <family val="2"/>
        <scheme val="minor"/>
      </rPr>
      <t>[xii]</t>
    </r>
    <r>
      <rPr>
        <sz val="11"/>
        <color theme="1"/>
        <rFont val="Calibri"/>
        <family val="2"/>
        <scheme val="minor"/>
      </rPr>
      <t xml:space="preserve"> U/S 80 EEB : INTEREST of E-Vehicle Loan in banks / NBFCS (Period Apr'19 – Mar'23)</t>
    </r>
  </si>
  <si>
    <r>
      <rPr>
        <b/>
        <sz val="11"/>
        <color indexed="8"/>
        <rFont val="Calibri"/>
        <family val="2"/>
        <scheme val="minor"/>
      </rPr>
      <t>[xiii]</t>
    </r>
    <r>
      <rPr>
        <sz val="11"/>
        <color indexed="8"/>
        <rFont val="Calibri"/>
        <family val="2"/>
        <scheme val="minor"/>
      </rPr>
      <t xml:space="preserve"> U/S 80 G : DONATIONS 50% Charitable. 100% Govt. </t>
    </r>
    <r>
      <rPr>
        <sz val="10"/>
        <color indexed="8"/>
        <rFont val="Calibri"/>
        <family val="2"/>
        <scheme val="minor"/>
      </rPr>
      <t>[PM/CM/Srilanga Tamilan relief fund]</t>
    </r>
  </si>
  <si>
    <r>
      <rPr>
        <b/>
        <sz val="11"/>
        <color indexed="8"/>
        <rFont val="Calibri"/>
        <family val="2"/>
        <scheme val="minor"/>
      </rPr>
      <t>[xiv]</t>
    </r>
    <r>
      <rPr>
        <sz val="11"/>
        <color indexed="8"/>
        <rFont val="Calibri"/>
        <family val="2"/>
        <scheme val="minor"/>
      </rPr>
      <t xml:space="preserve"> 80 GGA : DONATION for Scientific Research [100%]</t>
    </r>
  </si>
  <si>
    <r>
      <rPr>
        <b/>
        <sz val="11"/>
        <color indexed="8"/>
        <rFont val="Calibri"/>
        <family val="2"/>
        <scheme val="minor"/>
      </rPr>
      <t>[xv]</t>
    </r>
    <r>
      <rPr>
        <sz val="11"/>
        <color indexed="8"/>
        <rFont val="Calibri"/>
        <family val="2"/>
        <scheme val="minor"/>
      </rPr>
      <t xml:space="preserve"> 80 GGC : DONATION for Political Parties [100%] MAX. 10% OF INCOME.</t>
    </r>
  </si>
  <si>
    <r>
      <rPr>
        <b/>
        <sz val="11"/>
        <color indexed="8"/>
        <rFont val="Calibri"/>
        <family val="2"/>
        <scheme val="minor"/>
      </rPr>
      <t>[xvi]</t>
    </r>
    <r>
      <rPr>
        <sz val="11"/>
        <color indexed="8"/>
        <rFont val="Calibri"/>
        <family val="2"/>
        <scheme val="minor"/>
      </rPr>
      <t xml:space="preserve">   80 U : DIFFERENTLY ABLED [40%-79% : Rs.75,000. 80% &amp; above: Rs. 1,25,000]</t>
    </r>
    <r>
      <rPr>
        <i/>
        <sz val="11"/>
        <color indexed="8"/>
        <rFont val="Calibri"/>
        <family val="2"/>
        <scheme val="minor"/>
      </rPr>
      <t xml:space="preserve"> (File 10IA)</t>
    </r>
  </si>
  <si>
    <t>TOTAL OF CHAPTER - VI-A</t>
  </si>
  <si>
    <t>ROUNDED TO NEAREST  TEN</t>
  </si>
  <si>
    <t>NIL</t>
  </si>
  <si>
    <r>
      <t xml:space="preserve">3. Tax on Rupees 5,00,001 to 10,00,000   @  </t>
    </r>
    <r>
      <rPr>
        <b/>
        <sz val="11"/>
        <color indexed="8"/>
        <rFont val="Calibri"/>
        <family val="2"/>
        <scheme val="minor"/>
      </rPr>
      <t>20%</t>
    </r>
  </si>
  <si>
    <r>
      <t>4. Tax on Rupees 10,00,001 and above  @</t>
    </r>
    <r>
      <rPr>
        <b/>
        <sz val="11"/>
        <color indexed="8"/>
        <rFont val="Calibri"/>
        <family val="2"/>
        <scheme val="minor"/>
      </rPr>
      <t xml:space="preserve"> 30%</t>
    </r>
  </si>
  <si>
    <r>
      <t xml:space="preserve">LESS : </t>
    </r>
    <r>
      <rPr>
        <sz val="11"/>
        <color indexed="8"/>
        <rFont val="Calibri"/>
        <family val="2"/>
        <scheme val="minor"/>
      </rPr>
      <t>TAX REBATE U/S.87 A Max.Rs.12500/- (IF NET TAXABLE INCOME IS LESS THAN 5,00,000)</t>
    </r>
  </si>
  <si>
    <t>TOTAL TAX  PAYABLE FOR  2024 -2025</t>
  </si>
  <si>
    <r>
      <t xml:space="preserve">LESS : </t>
    </r>
    <r>
      <rPr>
        <sz val="11"/>
        <color indexed="8"/>
        <rFont val="Calibri"/>
        <family val="2"/>
        <scheme val="minor"/>
      </rPr>
      <t>RELIEF U/S.89 (1) Tax relief on Past year Salary Received as Arrear (asper Form 10E)</t>
    </r>
  </si>
  <si>
    <t>NET TAX  PAYABLE FOR  2024 -2025</t>
  </si>
  <si>
    <r>
      <t xml:space="preserve">ADD : </t>
    </r>
    <r>
      <rPr>
        <sz val="11"/>
        <color indexed="8"/>
        <rFont val="Calibri"/>
        <family val="2"/>
        <scheme val="minor"/>
      </rPr>
      <t>EDUCATION CESS@ 4% ON TAX PAYABLE</t>
    </r>
  </si>
  <si>
    <t>BALANCE OF INCOME TAX TO BE DEDUCTED IN FEB 2025 SALARY</t>
  </si>
  <si>
    <t>3. Certified that I am occupying a rental house paying a monthly rent of Rs.</t>
  </si>
  <si>
    <t xml:space="preserve"> only</t>
  </si>
  <si>
    <t>I Certified that the paticulars furnished above by me are correct.</t>
  </si>
  <si>
    <t>Place    :</t>
  </si>
  <si>
    <t>Date     :</t>
  </si>
  <si>
    <t>SIGNATURE OF THE ASSESSEE</t>
  </si>
  <si>
    <t>SIGNATURE OF THE HEAD</t>
  </si>
  <si>
    <t>PAN NO :</t>
  </si>
  <si>
    <t>PAY DRAWN DETAILS 2024 - 2025</t>
  </si>
  <si>
    <t xml:space="preserve">: </t>
  </si>
  <si>
    <t>NAME</t>
  </si>
  <si>
    <t>DESIGNATION</t>
  </si>
  <si>
    <t>SCHOOL</t>
  </si>
  <si>
    <t>MOBILE No.</t>
  </si>
  <si>
    <t>PAN No.</t>
  </si>
  <si>
    <t>TAN No.</t>
  </si>
  <si>
    <t>MONTH 
AND YEAR</t>
  </si>
  <si>
    <t>ALLOWENCES</t>
  </si>
  <si>
    <t>GROSS TOTAL</t>
  </si>
  <si>
    <t>SALARY DEDUCTIONS</t>
  </si>
  <si>
    <t>Prof. Tax</t>
  </si>
  <si>
    <t xml:space="preserve">BASIC </t>
  </si>
  <si>
    <t>GP</t>
  </si>
  <si>
    <t>PP/SP</t>
  </si>
  <si>
    <t>D. A</t>
  </si>
  <si>
    <t>SPL</t>
  </si>
  <si>
    <t>Others</t>
  </si>
  <si>
    <t>NHIS</t>
  </si>
  <si>
    <t>PLI</t>
  </si>
  <si>
    <t>LIC</t>
  </si>
  <si>
    <t>Tax</t>
  </si>
  <si>
    <t>Cess 4%</t>
  </si>
  <si>
    <t>TOTAL</t>
  </si>
  <si>
    <t>NET</t>
  </si>
  <si>
    <t>Total</t>
  </si>
  <si>
    <t>Surrender</t>
  </si>
  <si>
    <t>Bonus</t>
  </si>
  <si>
    <t>Grand Total</t>
  </si>
  <si>
    <t>PARTICULARS OF INSURANCE (LIC / PLI / RPLI etc) PREMIUM / SAVINGS FOR THIS ANNUM</t>
  </si>
  <si>
    <t>I</t>
  </si>
  <si>
    <t>PREMIUM PAID</t>
  </si>
  <si>
    <t>N.S.C NUMBER</t>
  </si>
  <si>
    <t>N</t>
  </si>
  <si>
    <t>NI</t>
  </si>
  <si>
    <t>TF</t>
  </si>
  <si>
    <t xml:space="preserve"> INTEREST AMOUNT</t>
  </si>
  <si>
    <t>DATE OF PAYMENT</t>
  </si>
  <si>
    <t xml:space="preserve"> SIGNATURE OF THE HEAD</t>
  </si>
  <si>
    <t>FORM NO. 16</t>
  </si>
  <si>
    <r>
      <t>RULE 31(1)(a)</t>
    </r>
    <r>
      <rPr>
        <b/>
        <sz val="12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</t>
    </r>
    <r>
      <rPr>
        <b/>
        <u/>
        <sz val="12"/>
        <color rgb="FF000000"/>
        <rFont val="Calibri"/>
        <family val="2"/>
        <scheme val="minor"/>
      </rPr>
      <t>PART A</t>
    </r>
    <r>
      <rPr>
        <b/>
        <sz val="12"/>
        <color rgb="FF000000"/>
        <rFont val="Calibri"/>
        <family val="2"/>
        <scheme val="minor"/>
      </rPr>
      <t xml:space="preserve"> [MODEL]</t>
    </r>
  </si>
  <si>
    <t>Certificate under section 203 of the Income-tax Act, 1961</t>
  </si>
  <si>
    <t>for tax deducted at source on salary paid to an employee under section 192</t>
  </si>
  <si>
    <t>Certificate No.:</t>
  </si>
  <si>
    <t>Updated on :</t>
  </si>
  <si>
    <t>EMPLOYER</t>
  </si>
  <si>
    <t>EMPLOYEE</t>
  </si>
  <si>
    <t xml:space="preserve">One </t>
  </si>
  <si>
    <t>Name                   :</t>
  </si>
  <si>
    <t xml:space="preserve">Two </t>
  </si>
  <si>
    <t>Designation       :</t>
  </si>
  <si>
    <t xml:space="preserve">Three </t>
  </si>
  <si>
    <t>Address               :</t>
  </si>
  <si>
    <t xml:space="preserve">Four </t>
  </si>
  <si>
    <t xml:space="preserve">Five </t>
  </si>
  <si>
    <t xml:space="preserve">Six </t>
  </si>
  <si>
    <t>PAN of the Deductor</t>
  </si>
  <si>
    <t>TAN of the Deductor</t>
  </si>
  <si>
    <t>PAN of the Employee</t>
  </si>
  <si>
    <t xml:space="preserve">Seven </t>
  </si>
  <si>
    <t xml:space="preserve">Eight </t>
  </si>
  <si>
    <t xml:space="preserve">Nine </t>
  </si>
  <si>
    <t>CIT (TDS)</t>
  </si>
  <si>
    <t xml:space="preserve">Ten </t>
  </si>
  <si>
    <t xml:space="preserve">Eleven </t>
  </si>
  <si>
    <t>PERIOD :  1 April 2023 - 31 March 2024</t>
  </si>
  <si>
    <t xml:space="preserve">Twelve </t>
  </si>
  <si>
    <t>Summary of amount Paid / Credited and Tax Deducted at source there on in respect of the employee</t>
  </si>
  <si>
    <t xml:space="preserve">Thirteen </t>
  </si>
  <si>
    <t xml:space="preserve">Fourteen </t>
  </si>
  <si>
    <t>has been deducted and deposited to the credit of the Central Government. I further certify that the information given above is true, complete and correct and is based on the books of account, documents, TDS statements, TDS deposited and other available records.</t>
  </si>
  <si>
    <t>Quarter(s)</t>
  </si>
  <si>
    <t>Receipt Numbers of original quarterly statement of TDS under sub section (3) of Section 200</t>
  </si>
  <si>
    <t>Amount paid / credited (Rs.)</t>
  </si>
  <si>
    <t>Amount of tax deducted (Rs.)</t>
  </si>
  <si>
    <t>Amount of tax deposited / remitted (Rs.)</t>
  </si>
  <si>
    <t xml:space="preserve">Fifteen </t>
  </si>
  <si>
    <t xml:space="preserve">Sixteen </t>
  </si>
  <si>
    <t xml:space="preserve">Seventeen </t>
  </si>
  <si>
    <t xml:space="preserve">Eighteen </t>
  </si>
  <si>
    <t xml:space="preserve">Nineteen </t>
  </si>
  <si>
    <t xml:space="preserve">Twenty </t>
  </si>
  <si>
    <t xml:space="preserve">Twenty One </t>
  </si>
  <si>
    <t>I. DETAILS OF TAX DEDUCTED AND DEPOSITED IN THE CENTRAL</t>
  </si>
  <si>
    <t xml:space="preserve">Twenty Two </t>
  </si>
  <si>
    <t>GOVERNMENT ACCOUNT THROUGH BOOK ADJUSTMENT (the deductor to provide payment wise details of tax deducted and deposited with respect to the deductee)</t>
  </si>
  <si>
    <t xml:space="preserve">Twenty Three </t>
  </si>
  <si>
    <t>Sl. No.</t>
  </si>
  <si>
    <t>Tax Deposited in respect of the deductee (Rs. )</t>
  </si>
  <si>
    <t>Book Identification Number (BIN)</t>
  </si>
  <si>
    <t xml:space="preserve">Twenty Four </t>
  </si>
  <si>
    <t>Receipt numbers of Form No.24G</t>
  </si>
  <si>
    <t>DDO serial number in Form No. 24G</t>
  </si>
  <si>
    <t>Date of transfer voucher dd/mm/yyyy</t>
  </si>
  <si>
    <t>Status of matching with Form No. 24G</t>
  </si>
  <si>
    <t xml:space="preserve">Twenty Five </t>
  </si>
  <si>
    <t xml:space="preserve">Twenty Six </t>
  </si>
  <si>
    <t xml:space="preserve">Twenty Seven </t>
  </si>
  <si>
    <t xml:space="preserve">Twenty Eight </t>
  </si>
  <si>
    <t xml:space="preserve">Twenty Nine </t>
  </si>
  <si>
    <t xml:space="preserve">Thirty </t>
  </si>
  <si>
    <t xml:space="preserve">Thirty One </t>
  </si>
  <si>
    <t xml:space="preserve">Thirty Two </t>
  </si>
  <si>
    <t xml:space="preserve">Thirty Three </t>
  </si>
  <si>
    <t xml:space="preserve">Thirty Four </t>
  </si>
  <si>
    <t xml:space="preserve">Thirty Five </t>
  </si>
  <si>
    <t xml:space="preserve">Thirty Six </t>
  </si>
  <si>
    <t xml:space="preserve">Thirty Seven </t>
  </si>
  <si>
    <t xml:space="preserve">Thirty Eight </t>
  </si>
  <si>
    <t>II. DETAILS OF TAX DEDUCTED AND DEPOSITED IN THE CENTRAL GOVERNMENT ACCOUNT THROUGH CHALLAN</t>
  </si>
  <si>
    <t xml:space="preserve">Thirty Nine </t>
  </si>
  <si>
    <t xml:space="preserve">Forty </t>
  </si>
  <si>
    <t>Challan Identification Number (CIN)</t>
  </si>
  <si>
    <t xml:space="preserve">Forty One </t>
  </si>
  <si>
    <t>BSR Code of the Bank Branch</t>
  </si>
  <si>
    <t>Date on which tax deposited (dd/mm/yyyy)</t>
  </si>
  <si>
    <t>Challan Serial Number</t>
  </si>
  <si>
    <t>Status of matching with OLTAS</t>
  </si>
  <si>
    <t xml:space="preserve">Forty Two </t>
  </si>
  <si>
    <t xml:space="preserve">Forty Three </t>
  </si>
  <si>
    <t xml:space="preserve">Forty Four </t>
  </si>
  <si>
    <t xml:space="preserve">Forty Five </t>
  </si>
  <si>
    <t xml:space="preserve">Forty Six </t>
  </si>
  <si>
    <t xml:space="preserve">Forty Seven </t>
  </si>
  <si>
    <t>Verification</t>
  </si>
  <si>
    <t xml:space="preserve">Forty Eight </t>
  </si>
  <si>
    <t xml:space="preserve">Forty Nine </t>
  </si>
  <si>
    <t xml:space="preserve">Fifty </t>
  </si>
  <si>
    <t xml:space="preserve">Fifty One </t>
  </si>
  <si>
    <t xml:space="preserve">Fifty Two </t>
  </si>
  <si>
    <t>(Signature of person responsible for deduction of Tax)</t>
  </si>
  <si>
    <t xml:space="preserve">Fifty Three </t>
  </si>
  <si>
    <t xml:space="preserve">Fifty Four </t>
  </si>
  <si>
    <t xml:space="preserve">Fifty Five </t>
  </si>
  <si>
    <t xml:space="preserve">Fifty Six </t>
  </si>
  <si>
    <t xml:space="preserve">Fifty Seven </t>
  </si>
  <si>
    <t xml:space="preserve">Fifty Eight </t>
  </si>
  <si>
    <t xml:space="preserve">Fifty Nine </t>
  </si>
  <si>
    <t xml:space="preserve">Sixty </t>
  </si>
  <si>
    <t xml:space="preserve">Sixty One </t>
  </si>
  <si>
    <t xml:space="preserve">Sixty Two </t>
  </si>
  <si>
    <t xml:space="preserve">Sixty Three </t>
  </si>
  <si>
    <t xml:space="preserve">Sixty Four </t>
  </si>
  <si>
    <t xml:space="preserve">Sixty Five </t>
  </si>
  <si>
    <t xml:space="preserve">Sixty Six </t>
  </si>
  <si>
    <t xml:space="preserve">Sixty Seven </t>
  </si>
  <si>
    <t xml:space="preserve">Sixty Eight </t>
  </si>
  <si>
    <t xml:space="preserve">Sixty Nine </t>
  </si>
  <si>
    <t xml:space="preserve">Seventy </t>
  </si>
  <si>
    <t xml:space="preserve">Seventy One </t>
  </si>
  <si>
    <t xml:space="preserve">Seventy Two </t>
  </si>
  <si>
    <t xml:space="preserve">Seventy Three </t>
  </si>
  <si>
    <t xml:space="preserve">Seventy Four </t>
  </si>
  <si>
    <t xml:space="preserve">Seventy Five </t>
  </si>
  <si>
    <t xml:space="preserve">Seventy Six </t>
  </si>
  <si>
    <t xml:space="preserve">Seventy Seven </t>
  </si>
  <si>
    <t xml:space="preserve">Seventy Eight </t>
  </si>
  <si>
    <t xml:space="preserve">Seventy Nine </t>
  </si>
  <si>
    <t xml:space="preserve">Eighty </t>
  </si>
  <si>
    <t xml:space="preserve">Eighty One </t>
  </si>
  <si>
    <t xml:space="preserve">Eighty Two </t>
  </si>
  <si>
    <t xml:space="preserve">Eighty Three </t>
  </si>
  <si>
    <t xml:space="preserve">Eighty Four </t>
  </si>
  <si>
    <t xml:space="preserve">Eighty Five </t>
  </si>
  <si>
    <t xml:space="preserve">Eighty Six </t>
  </si>
  <si>
    <t xml:space="preserve">Eighty Seven </t>
  </si>
  <si>
    <t xml:space="preserve">Eighty Eight </t>
  </si>
  <si>
    <t xml:space="preserve">Eighty Nine </t>
  </si>
  <si>
    <t xml:space="preserve">Ninety </t>
  </si>
  <si>
    <t xml:space="preserve">Ninety One </t>
  </si>
  <si>
    <t xml:space="preserve">Ninety Two </t>
  </si>
  <si>
    <t xml:space="preserve">Ninety Three </t>
  </si>
  <si>
    <t xml:space="preserve">Ninety Four </t>
  </si>
  <si>
    <t xml:space="preserve">Ninety Five </t>
  </si>
  <si>
    <t xml:space="preserve">Ninety Six </t>
  </si>
  <si>
    <t xml:space="preserve">Ninety Seven </t>
  </si>
  <si>
    <t xml:space="preserve">Ninety Eight </t>
  </si>
  <si>
    <t xml:space="preserve">Ninety Nine </t>
  </si>
  <si>
    <t>Hundred</t>
  </si>
  <si>
    <t>Thousand</t>
  </si>
  <si>
    <t>Lakh</t>
  </si>
  <si>
    <t>Crore</t>
  </si>
  <si>
    <t>FORM NO. 12BB</t>
  </si>
  <si>
    <t>[See rule 26C]</t>
  </si>
  <si>
    <t>Statement showing particulars of claims by an employee for deduction of tax under section 192</t>
  </si>
  <si>
    <t>Name of the employee</t>
  </si>
  <si>
    <t>Address of the employee</t>
  </si>
  <si>
    <t>PAN of the employee</t>
  </si>
  <si>
    <t>Period</t>
  </si>
  <si>
    <t>DETAILS OF CLAIMS AND EVIDENCE THEREOF</t>
  </si>
  <si>
    <t>S.N</t>
  </si>
  <si>
    <t xml:space="preserve">Nature of claim </t>
  </si>
  <si>
    <r>
      <t xml:space="preserve">Amount </t>
    </r>
    <r>
      <rPr>
        <sz val="10"/>
        <color theme="1"/>
        <rFont val="Calibri"/>
        <family val="2"/>
        <scheme val="minor"/>
      </rPr>
      <t>(Rs.)</t>
    </r>
  </si>
  <si>
    <t>Evidence/particulars</t>
  </si>
  <si>
    <t>(1)</t>
  </si>
  <si>
    <t>(2)</t>
  </si>
  <si>
    <t>(3)</t>
  </si>
  <si>
    <t>(4)</t>
  </si>
  <si>
    <t>House Rent Allowance:</t>
  </si>
  <si>
    <t>(i)</t>
  </si>
  <si>
    <t>Rent paid to the landlord</t>
  </si>
  <si>
    <t>(ii)</t>
  </si>
  <si>
    <t>Name of the landlord</t>
  </si>
  <si>
    <t>(iii)</t>
  </si>
  <si>
    <t>Address of the landlord</t>
  </si>
  <si>
    <t>(iv)</t>
  </si>
  <si>
    <r>
      <t>PAN or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Aadhaar Number of the landlord</t>
    </r>
  </si>
  <si>
    <r>
      <t>Note : Permanent Account Number or Aadhaar</t>
    </r>
    <r>
      <rPr>
        <i/>
        <sz val="10"/>
        <color theme="1"/>
        <rFont val="Times New Roman"/>
        <family val="1"/>
      </rPr>
      <t xml:space="preserve"> </t>
    </r>
    <r>
      <rPr>
        <i/>
        <sz val="10"/>
        <color theme="1"/>
        <rFont val="Calibri"/>
        <family val="2"/>
        <scheme val="minor"/>
      </rPr>
      <t>Number shall be furnished if the aggregate rent paid</t>
    </r>
    <r>
      <rPr>
        <i/>
        <sz val="10"/>
        <color theme="1"/>
        <rFont val="Times New Roman"/>
        <family val="1"/>
      </rPr>
      <t xml:space="preserve"> </t>
    </r>
    <r>
      <rPr>
        <i/>
        <sz val="10"/>
        <color theme="1"/>
        <rFont val="Calibri"/>
        <family val="2"/>
        <scheme val="minor"/>
      </rPr>
      <t>during the previous year exceeds one lakh rupees</t>
    </r>
  </si>
  <si>
    <t>Leave travel concessions or assistance</t>
  </si>
  <si>
    <t>Deduction of interest on borrowing:</t>
  </si>
  <si>
    <t>Interest payable/paid to the lender</t>
  </si>
  <si>
    <t>Name of the lender</t>
  </si>
  <si>
    <t>Address of the lender</t>
  </si>
  <si>
    <r>
      <t>PAN or Aadhaar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Number of the lender</t>
    </r>
  </si>
  <si>
    <t>(a) Financial Institutions (if available)</t>
  </si>
  <si>
    <t>(b) Employer (if available)</t>
  </si>
  <si>
    <t>(c) Others</t>
  </si>
  <si>
    <t>Deduction under Chapter VI-A</t>
  </si>
  <si>
    <t>(A) Sections 80C, 80CCC and 80CCD</t>
  </si>
  <si>
    <t>Section 80C</t>
  </si>
  <si>
    <t>Insurance (Non Salary Deductions)</t>
  </si>
  <si>
    <t>NSC</t>
  </si>
  <si>
    <t>NSC Interest</t>
  </si>
  <si>
    <t>Tuition Fee</t>
  </si>
  <si>
    <t>Section 80CCC</t>
  </si>
  <si>
    <t>Section 80CCD</t>
  </si>
  <si>
    <t>Section 80CCF</t>
  </si>
  <si>
    <t>(B) Other sections under Chapter VI-A</t>
  </si>
  <si>
    <t>Section 80E</t>
  </si>
  <si>
    <t>Section 80EEA</t>
  </si>
  <si>
    <t>Section 80EEB</t>
  </si>
  <si>
    <t>Section 80G</t>
  </si>
  <si>
    <t>(v)</t>
  </si>
  <si>
    <t>Section 80GA</t>
  </si>
  <si>
    <t>(vi)</t>
  </si>
  <si>
    <t>Section 80GC</t>
  </si>
  <si>
    <t>(vii)</t>
  </si>
  <si>
    <t>Section 80U</t>
  </si>
  <si>
    <r>
      <t>I, .......................................................... son / daughter of ........................................................ do hereby certify that the information given above is complete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and correct.</t>
    </r>
  </si>
  <si>
    <t>Place   :</t>
  </si>
  <si>
    <t>Date    :</t>
  </si>
  <si>
    <t>(Signature of the employee)</t>
  </si>
  <si>
    <t>Full Name :</t>
  </si>
  <si>
    <t>INDIVIDUAL INCOME TAX STATEMENT [NEW REGIME U/S.115BAC]</t>
  </si>
  <si>
    <t>Name</t>
  </si>
  <si>
    <t>PAN</t>
  </si>
  <si>
    <t xml:space="preserve">Designation </t>
  </si>
  <si>
    <t>Station</t>
  </si>
  <si>
    <t>Sl. No</t>
  </si>
  <si>
    <t>TOTAL SALARY INCOME (INCLUDING ALLOWANCES)</t>
  </si>
  <si>
    <t>ADD :</t>
  </si>
  <si>
    <t>3 j</t>
  </si>
  <si>
    <t>LESS :</t>
  </si>
  <si>
    <t xml:space="preserve"> CONVEYANCE (DIFFERENTLY ABLED) ALLOWANCE - U/S 10(14)</t>
  </si>
  <si>
    <t>3 ii</t>
  </si>
  <si>
    <t>GOVT. CONTRIBUTION IN NPS [80CCD(2)]</t>
  </si>
  <si>
    <t>3 iii</t>
  </si>
  <si>
    <t>STANDARD DEDUCTION RS. 75000 - U/S 16 (ia)</t>
  </si>
  <si>
    <t>TAXABLE INCOME - MEN AND WOMEN UPTO  RS 3,00,000  NO TAX</t>
  </si>
  <si>
    <t>A.</t>
  </si>
  <si>
    <t>Upto Rs.3,00,000   - NIL</t>
  </si>
  <si>
    <t>B.</t>
  </si>
  <si>
    <r>
      <t>Rs.3,00,001 to Rs.7,00,000  @  5</t>
    </r>
    <r>
      <rPr>
        <b/>
        <sz val="11"/>
        <color indexed="8"/>
        <rFont val="Calibri"/>
        <family val="2"/>
        <scheme val="minor"/>
      </rPr>
      <t xml:space="preserve">%  </t>
    </r>
  </si>
  <si>
    <t>C.</t>
  </si>
  <si>
    <r>
      <t xml:space="preserve">Rs.7,00,001 to Rs.10,00,000   @  </t>
    </r>
    <r>
      <rPr>
        <b/>
        <sz val="11"/>
        <color indexed="8"/>
        <rFont val="Calibri"/>
        <family val="2"/>
        <scheme val="minor"/>
      </rPr>
      <t>10%</t>
    </r>
  </si>
  <si>
    <t>D.</t>
  </si>
  <si>
    <r>
      <t xml:space="preserve">Rs.10,00,001 to Rs.12,00,000   @  </t>
    </r>
    <r>
      <rPr>
        <b/>
        <sz val="11"/>
        <color indexed="8"/>
        <rFont val="Calibri"/>
        <family val="2"/>
        <scheme val="minor"/>
      </rPr>
      <t>15%</t>
    </r>
  </si>
  <si>
    <t>E.</t>
  </si>
  <si>
    <r>
      <t xml:space="preserve">Rs.12,00,001 to Rs.15,00,000   @  </t>
    </r>
    <r>
      <rPr>
        <b/>
        <sz val="11"/>
        <color indexed="8"/>
        <rFont val="Calibri"/>
        <family val="2"/>
        <scheme val="minor"/>
      </rPr>
      <t>20%</t>
    </r>
  </si>
  <si>
    <t>F.</t>
  </si>
  <si>
    <r>
      <t>Rs.15,00,001 and above  @</t>
    </r>
    <r>
      <rPr>
        <b/>
        <sz val="11"/>
        <color indexed="8"/>
        <rFont val="Calibri"/>
        <family val="2"/>
        <scheme val="minor"/>
      </rPr>
      <t xml:space="preserve"> 30%</t>
    </r>
  </si>
  <si>
    <r>
      <t>LESS :</t>
    </r>
    <r>
      <rPr>
        <sz val="11"/>
        <color indexed="8"/>
        <rFont val="Calibri"/>
        <family val="2"/>
        <scheme val="minor"/>
      </rPr>
      <t/>
    </r>
  </si>
  <si>
    <r>
      <t>REBATE U/S 87A [</t>
    </r>
    <r>
      <rPr>
        <sz val="9"/>
        <color indexed="8"/>
        <rFont val="Calibri"/>
        <family val="2"/>
        <scheme val="minor"/>
      </rPr>
      <t xml:space="preserve">IF TAXABLE INCOME (COL.4) BELOW 722220]  (Max.Rs.20000) </t>
    </r>
  </si>
  <si>
    <r>
      <t xml:space="preserve">TOTAL TAX  PAYABLE FOR  2024 -2025 </t>
    </r>
    <r>
      <rPr>
        <sz val="11"/>
        <color indexed="8"/>
        <rFont val="Calibri"/>
        <family val="2"/>
        <scheme val="minor"/>
      </rPr>
      <t>[COL.6 - COL.7]</t>
    </r>
  </si>
  <si>
    <r>
      <t>REBATE U/S 89 (1)</t>
    </r>
    <r>
      <rPr>
        <sz val="10"/>
        <color indexed="8"/>
        <rFont val="Calibri"/>
        <family val="2"/>
        <scheme val="minor"/>
      </rPr>
      <t xml:space="preserve"> </t>
    </r>
    <r>
      <rPr>
        <sz val="9"/>
        <color indexed="8"/>
        <rFont val="Calibri"/>
        <family val="2"/>
        <scheme val="minor"/>
      </rPr>
      <t>Past year Salary Received as Arrear</t>
    </r>
    <r>
      <rPr>
        <sz val="10"/>
        <color indexed="8"/>
        <rFont val="Calibri"/>
        <family val="2"/>
        <scheme val="minor"/>
      </rPr>
      <t xml:space="preserve"> (asper Form 10E)</t>
    </r>
  </si>
  <si>
    <r>
      <t xml:space="preserve">NET TAX  PAYABLE FOR  2024 -2025 </t>
    </r>
    <r>
      <rPr>
        <sz val="11"/>
        <color indexed="8"/>
        <rFont val="Calibri"/>
        <family val="2"/>
        <scheme val="minor"/>
      </rPr>
      <t>[COL.6 - COL.7]</t>
    </r>
  </si>
  <si>
    <t>HEALTH &amp; EDUCATION CESS @ 4% ON TAX PAYABLE</t>
  </si>
  <si>
    <t>STATEMENT SHOWING PAY AND ALLOWANCES DRAWN FOR THE YEAR 2024 - 2025</t>
  </si>
  <si>
    <t>STATION</t>
  </si>
  <si>
    <t>BASIC</t>
  </si>
  <si>
    <t>HF</t>
  </si>
  <si>
    <t>FA</t>
  </si>
  <si>
    <t>Society</t>
  </si>
  <si>
    <t>D.A Arrear-I</t>
  </si>
  <si>
    <t>D.A Arrear-II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</si>
</sst>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\-yy;@"/>
    <numFmt numFmtId="165" formatCode="0;[Red]0"/>
    <numFmt numFmtId="166" formatCode="\ ####;\(###\)\ ###\-####"/>
    <numFmt numFmtId="167" formatCode="dd\-mmmm\-yy"/>
    <numFmt numFmtId="168" formatCode="dd\-mmmm\-yyyy"/>
    <numFmt numFmtId="169" formatCode="[$-409]d\-mmm\-yyyy;@"/>
  </numFmts>
  <fonts count="134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4"/>
      <name val="Cambria"/>
      <family val="1"/>
    </font>
    <font>
      <sz val="11"/>
      <name val="Calibri"/>
      <family val="2"/>
      <scheme val="minor"/>
    </font>
    <font>
      <sz val="18"/>
      <name val="Calibri"/>
      <family val="2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b/>
      <sz val="13"/>
      <color theme="0"/>
      <name val="Calibri"/>
      <family val="2"/>
      <scheme val="minor"/>
    </font>
    <font>
      <u/>
      <sz val="14"/>
      <color theme="0"/>
      <name val="Cambria"/>
      <family val="1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FF00"/>
      <name val="Calibri"/>
      <family val="2"/>
      <scheme val="minor"/>
    </font>
    <font>
      <b/>
      <sz val="12"/>
      <color rgb="FF00FF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  <scheme val="minor"/>
    </font>
    <font>
      <b/>
      <i/>
      <sz val="12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i/>
      <sz val="12"/>
      <name val="Calibri"/>
      <family val="2"/>
      <scheme val="minor"/>
    </font>
    <font>
      <sz val="11"/>
      <name val="Cambria"/>
      <family val="1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6" tint="0.79998168889431442"/>
      <name val="Calibri"/>
      <family val="2"/>
      <scheme val="minor"/>
    </font>
    <font>
      <i/>
      <sz val="9"/>
      <color rgb="FF002060"/>
      <name val="Calibri"/>
      <family val="2"/>
      <scheme val="minor"/>
    </font>
    <font>
      <sz val="12"/>
      <color theme="0"/>
      <name val="Cambria"/>
      <family val="1"/>
      <scheme val="major"/>
    </font>
    <font>
      <sz val="13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 tint="-0.34998626667073579"/>
      <name val="Arial"/>
      <family val="2"/>
    </font>
    <font>
      <sz val="10"/>
      <color rgb="FFC0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0" tint="-0.34998626667073579"/>
      <name val="Arial"/>
      <family val="2"/>
    </font>
    <font>
      <sz val="11"/>
      <color theme="3" tint="0.59999389629810485"/>
      <name val="Calibri"/>
      <family val="2"/>
      <scheme val="minor"/>
    </font>
    <font>
      <sz val="12"/>
      <color theme="3" tint="0.59999389629810485"/>
      <name val="Calibri"/>
      <family val="2"/>
      <scheme val="minor"/>
    </font>
    <font>
      <sz val="6"/>
      <color rgb="FF002060"/>
      <name val="Calibri"/>
      <family val="2"/>
      <scheme val="minor"/>
    </font>
    <font>
      <sz val="11"/>
      <color rgb="FFCCCC00"/>
      <name val="Calibri"/>
      <family val="2"/>
      <scheme val="minor"/>
    </font>
    <font>
      <sz val="11"/>
      <color rgb="FFFFFF99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theme="8"/>
      <name val="Calibri"/>
      <family val="2"/>
      <scheme val="minor"/>
    </font>
    <font>
      <sz val="8.5"/>
      <color rgb="FF00206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b/>
      <sz val="10"/>
      <color theme="0" tint="-0.499984740745262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sz val="11"/>
      <name val="VANAVIL-Avvaiyar"/>
    </font>
    <font>
      <b/>
      <sz val="11"/>
      <name val="Cambria"/>
      <family val="1"/>
    </font>
    <font>
      <u/>
      <sz val="1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FFFF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3"/>
      <color theme="9" tint="0.79998168889431442"/>
      <name val="Calibri"/>
      <family val="2"/>
      <scheme val="minor"/>
    </font>
    <font>
      <b/>
      <sz val="16"/>
      <color theme="9" tint="0.79998168889431442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8" tint="0.79998168889431442"/>
      <name val="Calibri"/>
      <family val="2"/>
      <scheme val="minor"/>
    </font>
    <font>
      <sz val="10"/>
      <color theme="8" tint="0.79998168889431442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Times New Roman"/>
      <family val="1"/>
    </font>
    <font>
      <sz val="8"/>
      <color rgb="FFC00000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3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C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rgb="FFF79646"/>
      </patternFill>
    </fill>
    <fill>
      <patternFill patternType="solid">
        <fgColor theme="0"/>
        <bgColor rgb="FFFFC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030A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/>
      <right/>
      <top style="medium">
        <color indexed="64"/>
      </top>
      <bottom style="thin">
        <color theme="8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thin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2" fillId="0" borderId="0"/>
  </cellStyleXfs>
  <cellXfs count="970">
    <xf numFmtId="0" fontId="0" fillId="0" borderId="0" xfId="0"/>
    <xf numFmtId="0" fontId="6" fillId="4" borderId="0" xfId="1" applyFont="1" applyFill="1" applyAlignment="1" applyProtection="1">
      <alignment vertical="center"/>
    </xf>
    <xf numFmtId="0" fontId="7" fillId="4" borderId="0" xfId="0" applyFont="1" applyFill="1" applyProtection="1">
      <protection hidden="1"/>
    </xf>
    <xf numFmtId="0" fontId="7" fillId="4" borderId="0" xfId="0" applyFont="1" applyFill="1" applyAlignment="1" applyProtection="1">
      <alignment horizontal="center"/>
      <protection hidden="1"/>
    </xf>
    <xf numFmtId="0" fontId="7" fillId="4" borderId="13" xfId="0" applyFont="1" applyFill="1" applyBorder="1" applyProtection="1">
      <protection hidden="1"/>
    </xf>
    <xf numFmtId="0" fontId="8" fillId="4" borderId="0" xfId="0" applyFont="1" applyFill="1" applyAlignment="1" applyProtection="1">
      <alignment horizontal="center"/>
      <protection hidden="1"/>
    </xf>
    <xf numFmtId="0" fontId="26" fillId="4" borderId="0" xfId="1" applyFont="1" applyFill="1" applyAlignment="1" applyProtection="1">
      <alignment vertical="center"/>
    </xf>
    <xf numFmtId="0" fontId="7" fillId="4" borderId="32" xfId="0" applyFont="1" applyFill="1" applyBorder="1" applyProtection="1">
      <protection hidden="1"/>
    </xf>
    <xf numFmtId="0" fontId="19" fillId="4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16" fillId="4" borderId="0" xfId="0" applyFont="1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49" fillId="0" borderId="0" xfId="0" applyFont="1" applyAlignment="1" applyProtection="1">
      <alignment horizontal="center" wrapText="1"/>
      <protection hidden="1"/>
    </xf>
    <xf numFmtId="0" fontId="7" fillId="0" borderId="0" xfId="0" applyFont="1" applyProtection="1">
      <protection hidden="1"/>
    </xf>
    <xf numFmtId="0" fontId="35" fillId="7" borderId="0" xfId="0" applyFont="1" applyFill="1" applyAlignment="1" applyProtection="1">
      <alignment vertical="center"/>
      <protection hidden="1"/>
    </xf>
    <xf numFmtId="0" fontId="22" fillId="4" borderId="1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/>
    <xf numFmtId="0" fontId="12" fillId="4" borderId="15" xfId="0" applyFont="1" applyFill="1" applyBorder="1" applyAlignment="1">
      <alignment vertical="top"/>
    </xf>
    <xf numFmtId="0" fontId="12" fillId="4" borderId="19" xfId="0" applyFont="1" applyFill="1" applyBorder="1" applyAlignment="1">
      <alignment vertical="top"/>
    </xf>
    <xf numFmtId="0" fontId="17" fillId="0" borderId="20" xfId="0" applyFont="1" applyBorder="1"/>
    <xf numFmtId="0" fontId="12" fillId="4" borderId="20" xfId="0" applyFont="1" applyFill="1" applyBorder="1" applyAlignment="1">
      <alignment vertical="top"/>
    </xf>
    <xf numFmtId="0" fontId="9" fillId="4" borderId="21" xfId="0" applyFont="1" applyFill="1" applyBorder="1" applyAlignment="1">
      <alignment horizontal="right" vertical="top" indent="1"/>
    </xf>
    <xf numFmtId="0" fontId="12" fillId="4" borderId="0" xfId="0" applyFont="1" applyFill="1" applyAlignment="1">
      <alignment vertical="top"/>
    </xf>
    <xf numFmtId="0" fontId="9" fillId="4" borderId="0" xfId="0" applyFont="1" applyFill="1" applyAlignment="1">
      <alignment horizontal="right" vertical="top" indent="1"/>
    </xf>
    <xf numFmtId="0" fontId="12" fillId="4" borderId="49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7" fillId="4" borderId="23" xfId="0" applyFont="1" applyFill="1" applyBorder="1" applyAlignment="1">
      <alignment horizontal="right" vertical="center" indent="1"/>
    </xf>
    <xf numFmtId="0" fontId="13" fillId="4" borderId="11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7" fillId="4" borderId="36" xfId="0" applyFont="1" applyFill="1" applyBorder="1" applyAlignment="1">
      <alignment horizontal="right" vertical="center" indent="1"/>
    </xf>
    <xf numFmtId="0" fontId="12" fillId="4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9" fillId="4" borderId="18" xfId="0" applyFont="1" applyFill="1" applyBorder="1" applyAlignment="1">
      <alignment horizontal="right" vertical="center" indent="1"/>
    </xf>
    <xf numFmtId="0" fontId="13" fillId="4" borderId="7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43" fillId="0" borderId="18" xfId="0" applyFont="1" applyBorder="1"/>
    <xf numFmtId="0" fontId="12" fillId="4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9" fillId="4" borderId="23" xfId="0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right" indent="1"/>
    </xf>
    <xf numFmtId="0" fontId="0" fillId="4" borderId="0" xfId="0" applyFill="1" applyAlignment="1">
      <alignment horizontal="center"/>
    </xf>
    <xf numFmtId="0" fontId="0" fillId="4" borderId="0" xfId="0" applyFill="1"/>
    <xf numFmtId="0" fontId="15" fillId="4" borderId="0" xfId="0" applyFont="1" applyFill="1" applyAlignment="1">
      <alignment horizontal="left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3" fillId="4" borderId="0" xfId="0" applyFont="1" applyFill="1" applyAlignment="1">
      <alignment horizontal="right" indent="1"/>
    </xf>
    <xf numFmtId="0" fontId="19" fillId="0" borderId="0" xfId="0" applyFont="1" applyAlignment="1">
      <alignment vertical="center"/>
    </xf>
    <xf numFmtId="0" fontId="19" fillId="0" borderId="0" xfId="0" applyFont="1"/>
    <xf numFmtId="0" fontId="7" fillId="4" borderId="0" xfId="0" applyFont="1" applyFill="1"/>
    <xf numFmtId="0" fontId="16" fillId="4" borderId="0" xfId="0" applyFont="1" applyFill="1"/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center"/>
    </xf>
    <xf numFmtId="0" fontId="2" fillId="4" borderId="0" xfId="0" applyFont="1" applyFill="1"/>
    <xf numFmtId="0" fontId="10" fillId="4" borderId="0" xfId="0" applyFont="1" applyFill="1"/>
    <xf numFmtId="49" fontId="10" fillId="4" borderId="0" xfId="0" applyNumberFormat="1" applyFont="1" applyFill="1"/>
    <xf numFmtId="49" fontId="25" fillId="4" borderId="0" xfId="0" applyNumberFormat="1" applyFont="1" applyFill="1"/>
    <xf numFmtId="165" fontId="10" fillId="4" borderId="0" xfId="0" applyNumberFormat="1" applyFont="1" applyFill="1"/>
    <xf numFmtId="0" fontId="10" fillId="4" borderId="19" xfId="0" applyFont="1" applyFill="1" applyBorder="1"/>
    <xf numFmtId="0" fontId="10" fillId="4" borderId="20" xfId="0" applyFont="1" applyFill="1" applyBorder="1"/>
    <xf numFmtId="0" fontId="7" fillId="4" borderId="20" xfId="0" applyFont="1" applyFill="1" applyBorder="1"/>
    <xf numFmtId="0" fontId="10" fillId="4" borderId="20" xfId="0" applyFont="1" applyFill="1" applyBorder="1" applyAlignment="1">
      <alignment horizontal="left" indent="1"/>
    </xf>
    <xf numFmtId="0" fontId="7" fillId="4" borderId="21" xfId="0" applyFont="1" applyFill="1" applyBorder="1"/>
    <xf numFmtId="0" fontId="2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40" fillId="0" borderId="0" xfId="0" applyFont="1" applyAlignment="1">
      <alignment horizontal="left"/>
    </xf>
    <xf numFmtId="0" fontId="18" fillId="0" borderId="0" xfId="0" applyFont="1"/>
    <xf numFmtId="0" fontId="9" fillId="4" borderId="0" xfId="0" applyFont="1" applyFill="1"/>
    <xf numFmtId="0" fontId="46" fillId="4" borderId="0" xfId="0" applyFont="1" applyFill="1" applyAlignment="1">
      <alignment horizontal="center" vertical="center" textRotation="90" wrapText="1"/>
    </xf>
    <xf numFmtId="0" fontId="47" fillId="4" borderId="0" xfId="0" applyFont="1" applyFill="1" applyAlignment="1">
      <alignment horizontal="center" vertical="center" textRotation="90" wrapText="1"/>
    </xf>
    <xf numFmtId="0" fontId="44" fillId="4" borderId="0" xfId="0" applyFont="1" applyFill="1"/>
    <xf numFmtId="0" fontId="2" fillId="4" borderId="27" xfId="0" applyFont="1" applyFill="1" applyBorder="1" applyAlignment="1">
      <alignment horizontal="center" vertical="center"/>
    </xf>
    <xf numFmtId="0" fontId="27" fillId="4" borderId="0" xfId="0" applyFont="1" applyFill="1"/>
    <xf numFmtId="0" fontId="40" fillId="0" borderId="0" xfId="0" applyFont="1"/>
    <xf numFmtId="0" fontId="39" fillId="0" borderId="0" xfId="0" applyFont="1"/>
    <xf numFmtId="0" fontId="22" fillId="4" borderId="0" xfId="0" applyFont="1" applyFill="1"/>
    <xf numFmtId="0" fontId="29" fillId="4" borderId="0" xfId="0" applyFont="1" applyFill="1"/>
    <xf numFmtId="9" fontId="39" fillId="0" borderId="0" xfId="0" applyNumberFormat="1" applyFont="1"/>
    <xf numFmtId="0" fontId="23" fillId="4" borderId="0" xfId="0" applyFont="1" applyFill="1" applyAlignment="1">
      <alignment horizontal="right" vertical="center"/>
    </xf>
    <xf numFmtId="0" fontId="30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22" fillId="4" borderId="22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left"/>
    </xf>
    <xf numFmtId="0" fontId="37" fillId="0" borderId="0" xfId="0" applyFont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1" fillId="4" borderId="0" xfId="0" applyFont="1" applyFill="1"/>
    <xf numFmtId="0" fontId="28" fillId="4" borderId="0" xfId="0" applyFont="1" applyFill="1"/>
    <xf numFmtId="0" fontId="41" fillId="0" borderId="0" xfId="0" applyFont="1"/>
    <xf numFmtId="0" fontId="21" fillId="4" borderId="2" xfId="0" applyFont="1" applyFill="1" applyBorder="1" applyAlignment="1">
      <alignment horizontal="center" vertical="center"/>
    </xf>
    <xf numFmtId="0" fontId="22" fillId="0" borderId="0" xfId="0" applyFont="1"/>
    <xf numFmtId="0" fontId="9" fillId="4" borderId="0" xfId="0" applyFont="1" applyFill="1" applyAlignment="1">
      <alignment vertical="center"/>
    </xf>
    <xf numFmtId="0" fontId="13" fillId="4" borderId="11" xfId="0" applyFont="1" applyFill="1" applyBorder="1" applyAlignment="1">
      <alignment vertical="center" wrapText="1"/>
    </xf>
    <xf numFmtId="0" fontId="50" fillId="4" borderId="2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7" fillId="4" borderId="0" xfId="0" applyFont="1" applyFill="1" applyAlignment="1">
      <alignment shrinkToFit="1"/>
    </xf>
    <xf numFmtId="0" fontId="7" fillId="0" borderId="0" xfId="0" applyFont="1"/>
    <xf numFmtId="0" fontId="7" fillId="4" borderId="20" xfId="0" applyFont="1" applyFill="1" applyBorder="1" applyAlignment="1">
      <alignment shrinkToFit="1"/>
    </xf>
    <xf numFmtId="0" fontId="7" fillId="4" borderId="0" xfId="0" applyFont="1" applyFill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50" xfId="0" applyFont="1" applyFill="1" applyBorder="1" applyAlignment="1">
      <alignment vertical="center"/>
    </xf>
    <xf numFmtId="0" fontId="7" fillId="4" borderId="1" xfId="0" applyFont="1" applyFill="1" applyBorder="1"/>
    <xf numFmtId="0" fontId="12" fillId="0" borderId="1" xfId="0" applyFont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7" fillId="4" borderId="3" xfId="0" applyFont="1" applyFill="1" applyBorder="1"/>
    <xf numFmtId="0" fontId="0" fillId="0" borderId="9" xfId="0" applyBorder="1"/>
    <xf numFmtId="0" fontId="7" fillId="4" borderId="40" xfId="0" applyFont="1" applyFill="1" applyBorder="1"/>
    <xf numFmtId="0" fontId="7" fillId="4" borderId="0" xfId="0" applyFont="1" applyFill="1" applyAlignment="1">
      <alignment horizontal="right" vertical="center"/>
    </xf>
    <xf numFmtId="0" fontId="10" fillId="4" borderId="14" xfId="0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50" fillId="4" borderId="0" xfId="0" applyFont="1" applyFill="1" applyAlignment="1">
      <alignment horizontal="center" vertical="center" wrapText="1"/>
    </xf>
    <xf numFmtId="0" fontId="31" fillId="8" borderId="2" xfId="0" applyFont="1" applyFill="1" applyBorder="1" applyAlignment="1" applyProtection="1">
      <alignment vertical="center"/>
      <protection locked="0" hidden="1"/>
    </xf>
    <xf numFmtId="0" fontId="31" fillId="8" borderId="1" xfId="0" applyFont="1" applyFill="1" applyBorder="1" applyAlignment="1" applyProtection="1">
      <alignment horizontal="center" vertical="center"/>
      <protection locked="0" hidden="1"/>
    </xf>
    <xf numFmtId="0" fontId="0" fillId="7" borderId="0" xfId="0" applyFill="1" applyAlignment="1" applyProtection="1">
      <alignment vertical="center"/>
      <protection hidden="1"/>
    </xf>
    <xf numFmtId="0" fontId="36" fillId="4" borderId="1" xfId="0" applyFont="1" applyFill="1" applyBorder="1" applyAlignment="1" applyProtection="1">
      <alignment horizontal="center" vertical="center"/>
      <protection locked="0" hidden="1"/>
    </xf>
    <xf numFmtId="0" fontId="33" fillId="6" borderId="2" xfId="0" applyFont="1" applyFill="1" applyBorder="1" applyAlignment="1" applyProtection="1">
      <alignment horizontal="center" vertical="center" wrapText="1"/>
      <protection hidden="1"/>
    </xf>
    <xf numFmtId="0" fontId="33" fillId="6" borderId="1" xfId="0" applyFont="1" applyFill="1" applyBorder="1" applyAlignment="1" applyProtection="1">
      <alignment horizontal="left" vertical="center" wrapText="1"/>
      <protection hidden="1"/>
    </xf>
    <xf numFmtId="0" fontId="33" fillId="6" borderId="1" xfId="0" applyFont="1" applyFill="1" applyBorder="1" applyAlignment="1" applyProtection="1">
      <alignment vertical="center" wrapText="1"/>
      <protection hidden="1"/>
    </xf>
    <xf numFmtId="0" fontId="0" fillId="7" borderId="0" xfId="0" applyFill="1"/>
    <xf numFmtId="0" fontId="0" fillId="4" borderId="0" xfId="0" applyFill="1" applyAlignment="1" applyProtection="1">
      <alignment vertical="center" wrapText="1"/>
      <protection hidden="1"/>
    </xf>
    <xf numFmtId="166" fontId="7" fillId="4" borderId="22" xfId="0" applyNumberFormat="1" applyFont="1" applyFill="1" applyBorder="1" applyAlignment="1">
      <alignment shrinkToFit="1"/>
    </xf>
    <xf numFmtId="166" fontId="7" fillId="4" borderId="1" xfId="0" applyNumberFormat="1" applyFont="1" applyFill="1" applyBorder="1" applyAlignment="1">
      <alignment shrinkToFit="1"/>
    </xf>
    <xf numFmtId="166" fontId="13" fillId="4" borderId="23" xfId="0" applyNumberFormat="1" applyFont="1" applyFill="1" applyBorder="1" applyAlignment="1">
      <alignment vertical="center" shrinkToFit="1"/>
    </xf>
    <xf numFmtId="0" fontId="13" fillId="4" borderId="0" xfId="0" applyFont="1" applyFill="1" applyAlignment="1">
      <alignment vertical="center" shrinkToFit="1"/>
    </xf>
    <xf numFmtId="166" fontId="7" fillId="4" borderId="25" xfId="0" applyNumberFormat="1" applyFont="1" applyFill="1" applyBorder="1" applyAlignment="1">
      <alignment shrinkToFit="1"/>
    </xf>
    <xf numFmtId="166" fontId="13" fillId="4" borderId="26" xfId="0" applyNumberFormat="1" applyFont="1" applyFill="1" applyBorder="1" applyAlignment="1">
      <alignment vertical="center" shrinkToFit="1"/>
    </xf>
    <xf numFmtId="0" fontId="19" fillId="10" borderId="0" xfId="0" applyFont="1" applyFill="1" applyAlignment="1">
      <alignment vertical="center"/>
    </xf>
    <xf numFmtId="0" fontId="19" fillId="10" borderId="0" xfId="0" applyFont="1" applyFill="1"/>
    <xf numFmtId="0" fontId="41" fillId="10" borderId="0" xfId="0" applyFont="1" applyFill="1" applyAlignment="1">
      <alignment vertical="center"/>
    </xf>
    <xf numFmtId="0" fontId="18" fillId="10" borderId="0" xfId="0" applyFont="1" applyFill="1" applyAlignment="1">
      <alignment vertical="center"/>
    </xf>
    <xf numFmtId="0" fontId="45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5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66" fillId="4" borderId="0" xfId="0" applyFont="1" applyFill="1" applyAlignment="1">
      <alignment vertical="center"/>
    </xf>
    <xf numFmtId="0" fontId="17" fillId="4" borderId="0" xfId="0" applyFont="1" applyFill="1"/>
    <xf numFmtId="0" fontId="66" fillId="4" borderId="4" xfId="0" applyFont="1" applyFill="1" applyBorder="1" applyAlignment="1">
      <alignment vertical="center"/>
    </xf>
    <xf numFmtId="0" fontId="33" fillId="6" borderId="0" xfId="0" applyFont="1" applyFill="1" applyAlignment="1" applyProtection="1">
      <alignment horizontal="left" vertical="center"/>
      <protection hidden="1"/>
    </xf>
    <xf numFmtId="0" fontId="22" fillId="8" borderId="0" xfId="0" applyFont="1" applyFill="1" applyAlignment="1" applyProtection="1">
      <alignment horizontal="center" vertical="center"/>
      <protection locked="0" hidden="1"/>
    </xf>
    <xf numFmtId="0" fontId="54" fillId="6" borderId="4" xfId="0" applyFont="1" applyFill="1" applyBorder="1" applyAlignment="1" applyProtection="1">
      <alignment horizontal="left" vertical="center" wrapText="1" shrinkToFit="1"/>
      <protection hidden="1"/>
    </xf>
    <xf numFmtId="0" fontId="54" fillId="6" borderId="12" xfId="0" applyFont="1" applyFill="1" applyBorder="1" applyAlignment="1" applyProtection="1">
      <alignment horizontal="left" vertical="center" wrapText="1" shrinkToFit="1"/>
      <protection hidden="1"/>
    </xf>
    <xf numFmtId="0" fontId="54" fillId="6" borderId="9" xfId="0" applyFont="1" applyFill="1" applyBorder="1" applyAlignment="1" applyProtection="1">
      <alignment horizontal="left" vertical="center" wrapText="1" shrinkToFit="1"/>
      <protection hidden="1"/>
    </xf>
    <xf numFmtId="0" fontId="33" fillId="6" borderId="29" xfId="0" applyFont="1" applyFill="1" applyBorder="1" applyAlignment="1" applyProtection="1">
      <alignment vertical="center" wrapText="1"/>
      <protection hidden="1"/>
    </xf>
    <xf numFmtId="0" fontId="33" fillId="6" borderId="2" xfId="0" applyFont="1" applyFill="1" applyBorder="1" applyAlignment="1" applyProtection="1">
      <alignment vertical="center" wrapText="1"/>
      <protection hidden="1"/>
    </xf>
    <xf numFmtId="0" fontId="31" fillId="8" borderId="29" xfId="0" applyFont="1" applyFill="1" applyBorder="1" applyAlignment="1" applyProtection="1">
      <alignment vertical="center"/>
      <protection locked="0" hidden="1"/>
    </xf>
    <xf numFmtId="0" fontId="12" fillId="4" borderId="0" xfId="0" applyFont="1" applyFill="1" applyAlignment="1">
      <alignment horizontal="center" vertical="center"/>
    </xf>
    <xf numFmtId="0" fontId="13" fillId="4" borderId="30" xfId="0" applyFont="1" applyFill="1" applyBorder="1" applyAlignment="1">
      <alignment vertical="center"/>
    </xf>
    <xf numFmtId="0" fontId="22" fillId="4" borderId="1" xfId="0" applyFont="1" applyFill="1" applyBorder="1" applyAlignment="1" applyProtection="1">
      <alignment vertical="center" shrinkToFit="1"/>
      <protection locked="0"/>
    </xf>
    <xf numFmtId="1" fontId="22" fillId="4" borderId="1" xfId="0" applyNumberFormat="1" applyFont="1" applyFill="1" applyBorder="1" applyAlignment="1" applyProtection="1">
      <alignment horizontal="center" vertical="center" shrinkToFit="1"/>
      <protection locked="0"/>
    </xf>
    <xf numFmtId="1" fontId="22" fillId="4" borderId="1" xfId="0" applyNumberFormat="1" applyFont="1" applyFill="1" applyBorder="1" applyAlignment="1" applyProtection="1">
      <alignment horizontal="right" vertical="center" shrinkToFit="1"/>
      <protection locked="0"/>
    </xf>
    <xf numFmtId="0" fontId="22" fillId="4" borderId="1" xfId="0" applyFont="1" applyFill="1" applyBorder="1" applyAlignment="1" applyProtection="1">
      <alignment horizontal="right" vertical="center" shrinkToFit="1"/>
      <protection locked="0"/>
    </xf>
    <xf numFmtId="0" fontId="22" fillId="4" borderId="23" xfId="0" applyFont="1" applyFill="1" applyBorder="1" applyAlignment="1" applyProtection="1">
      <alignment vertical="center" shrinkToFit="1"/>
      <protection locked="0"/>
    </xf>
    <xf numFmtId="0" fontId="48" fillId="4" borderId="1" xfId="0" applyFont="1" applyFill="1" applyBorder="1" applyAlignment="1" applyProtection="1">
      <alignment horizontal="center" vertical="center" shrinkToFit="1"/>
      <protection locked="0"/>
    </xf>
    <xf numFmtId="0" fontId="48" fillId="4" borderId="1" xfId="0" applyFont="1" applyFill="1" applyBorder="1" applyAlignment="1" applyProtection="1">
      <alignment horizontal="right" vertical="center" shrinkToFit="1"/>
      <protection locked="0"/>
    </xf>
    <xf numFmtId="0" fontId="22" fillId="4" borderId="25" xfId="0" applyFont="1" applyFill="1" applyBorder="1" applyAlignment="1" applyProtection="1">
      <alignment horizontal="center" vertical="center" shrinkToFit="1"/>
      <protection locked="0"/>
    </xf>
    <xf numFmtId="0" fontId="22" fillId="4" borderId="25" xfId="0" applyFont="1" applyFill="1" applyBorder="1" applyAlignment="1" applyProtection="1">
      <alignment horizontal="right" vertical="center" shrinkToFit="1"/>
      <protection locked="0"/>
    </xf>
    <xf numFmtId="0" fontId="22" fillId="4" borderId="26" xfId="0" applyFont="1" applyFill="1" applyBorder="1" applyAlignment="1" applyProtection="1">
      <alignment horizontal="center" vertical="center" shrinkToFit="1"/>
      <protection locked="0"/>
    </xf>
    <xf numFmtId="0" fontId="34" fillId="6" borderId="11" xfId="0" applyFont="1" applyFill="1" applyBorder="1" applyAlignment="1" applyProtection="1">
      <alignment vertical="center"/>
      <protection hidden="1"/>
    </xf>
    <xf numFmtId="0" fontId="34" fillId="6" borderId="30" xfId="0" applyFont="1" applyFill="1" applyBorder="1" applyAlignment="1" applyProtection="1">
      <alignment vertical="center"/>
      <protection hidden="1"/>
    </xf>
    <xf numFmtId="0" fontId="32" fillId="8" borderId="11" xfId="0" applyFont="1" applyFill="1" applyBorder="1" applyAlignment="1" applyProtection="1">
      <alignment vertical="center"/>
      <protection locked="0" hidden="1"/>
    </xf>
    <xf numFmtId="0" fontId="23" fillId="4" borderId="1" xfId="0" applyFont="1" applyFill="1" applyBorder="1" applyAlignment="1" applyProtection="1">
      <alignment horizontal="center" vertical="center" shrinkToFit="1"/>
      <protection locked="0"/>
    </xf>
    <xf numFmtId="0" fontId="23" fillId="4" borderId="1" xfId="0" applyFont="1" applyFill="1" applyBorder="1" applyAlignment="1" applyProtection="1">
      <alignment horizontal="right" vertical="center" shrinkToFit="1"/>
      <protection locked="0"/>
    </xf>
    <xf numFmtId="0" fontId="23" fillId="4" borderId="23" xfId="0" applyFont="1" applyFill="1" applyBorder="1" applyAlignment="1" applyProtection="1">
      <alignment horizontal="center" vertical="center" shrinkToFit="1"/>
      <protection locked="0"/>
    </xf>
    <xf numFmtId="0" fontId="23" fillId="4" borderId="0" xfId="0" applyFont="1" applyFill="1" applyAlignment="1">
      <alignment horizontal="center" vertical="center"/>
    </xf>
    <xf numFmtId="0" fontId="66" fillId="4" borderId="2" xfId="0" applyFont="1" applyFill="1" applyBorder="1" applyAlignment="1">
      <alignment vertical="center"/>
    </xf>
    <xf numFmtId="0" fontId="0" fillId="11" borderId="0" xfId="0" applyFill="1" applyAlignment="1" applyProtection="1">
      <alignment vertical="center"/>
      <protection hidden="1"/>
    </xf>
    <xf numFmtId="0" fontId="16" fillId="11" borderId="0" xfId="0" applyFont="1" applyFill="1" applyAlignment="1" applyProtection="1">
      <alignment vertical="center"/>
      <protection hidden="1"/>
    </xf>
    <xf numFmtId="0" fontId="12" fillId="4" borderId="14" xfId="0" applyFont="1" applyFill="1" applyBorder="1" applyAlignment="1">
      <alignment vertical="top"/>
    </xf>
    <xf numFmtId="0" fontId="71" fillId="0" borderId="0" xfId="1" applyFont="1" applyAlignment="1" applyProtection="1">
      <alignment vertical="center"/>
    </xf>
    <xf numFmtId="0" fontId="17" fillId="2" borderId="0" xfId="0" applyFont="1" applyFill="1" applyAlignment="1">
      <alignment horizontal="center" vertical="center"/>
    </xf>
    <xf numFmtId="0" fontId="67" fillId="0" borderId="0" xfId="0" applyFont="1" applyAlignment="1">
      <alignment horizontal="right" vertical="center"/>
    </xf>
    <xf numFmtId="0" fontId="33" fillId="11" borderId="0" xfId="0" applyFont="1" applyFill="1" applyAlignment="1" applyProtection="1">
      <alignment horizontal="left" vertical="center"/>
      <protection hidden="1"/>
    </xf>
    <xf numFmtId="0" fontId="0" fillId="11" borderId="0" xfId="0" applyFill="1" applyAlignment="1" applyProtection="1">
      <alignment horizontal="center" vertical="center"/>
      <protection hidden="1"/>
    </xf>
    <xf numFmtId="0" fontId="35" fillId="11" borderId="11" xfId="0" applyFont="1" applyFill="1" applyBorder="1" applyProtection="1">
      <protection hidden="1"/>
    </xf>
    <xf numFmtId="0" fontId="35" fillId="11" borderId="0" xfId="0" applyFont="1" applyFill="1" applyProtection="1">
      <protection hidden="1"/>
    </xf>
    <xf numFmtId="0" fontId="35" fillId="11" borderId="0" xfId="0" applyFont="1" applyFill="1" applyAlignment="1" applyProtection="1">
      <alignment vertical="center"/>
      <protection hidden="1"/>
    </xf>
    <xf numFmtId="0" fontId="72" fillId="11" borderId="0" xfId="0" applyFont="1" applyFill="1" applyAlignment="1" applyProtection="1">
      <alignment vertical="center"/>
      <protection hidden="1"/>
    </xf>
    <xf numFmtId="0" fontId="35" fillId="11" borderId="0" xfId="0" applyFont="1" applyFill="1" applyAlignment="1" applyProtection="1">
      <alignment horizontal="center" vertical="center" wrapText="1"/>
      <protection hidden="1"/>
    </xf>
    <xf numFmtId="0" fontId="22" fillId="11" borderId="0" xfId="0" applyFont="1" applyFill="1" applyAlignment="1" applyProtection="1">
      <alignment horizontal="center" vertical="center"/>
      <protection locked="0" hidden="1"/>
    </xf>
    <xf numFmtId="0" fontId="36" fillId="11" borderId="11" xfId="0" applyFont="1" applyFill="1" applyBorder="1" applyAlignment="1" applyProtection="1">
      <alignment vertical="center"/>
      <protection hidden="1"/>
    </xf>
    <xf numFmtId="0" fontId="36" fillId="11" borderId="0" xfId="0" applyFont="1" applyFill="1" applyAlignment="1" applyProtection="1">
      <alignment vertical="center"/>
      <protection hidden="1"/>
    </xf>
    <xf numFmtId="0" fontId="62" fillId="11" borderId="0" xfId="0" applyFont="1" applyFill="1" applyAlignment="1" applyProtection="1">
      <alignment horizontal="center" vertical="center"/>
      <protection hidden="1"/>
    </xf>
    <xf numFmtId="0" fontId="31" fillId="11" borderId="0" xfId="0" applyFont="1" applyFill="1" applyAlignment="1" applyProtection="1">
      <alignment horizontal="center" vertical="center"/>
      <protection hidden="1"/>
    </xf>
    <xf numFmtId="0" fontId="10" fillId="4" borderId="1" xfId="0" applyFont="1" applyFill="1" applyBorder="1" applyProtection="1">
      <protection locked="0"/>
    </xf>
    <xf numFmtId="0" fontId="9" fillId="4" borderId="1" xfId="0" applyFont="1" applyFill="1" applyBorder="1" applyAlignment="1" applyProtection="1">
      <alignment horizontal="center" vertical="center" textRotation="90" wrapText="1"/>
      <protection locked="0"/>
    </xf>
    <xf numFmtId="0" fontId="10" fillId="4" borderId="50" xfId="0" applyFont="1" applyFill="1" applyBorder="1" applyProtection="1">
      <protection locked="0"/>
    </xf>
    <xf numFmtId="0" fontId="76" fillId="11" borderId="0" xfId="0" applyFont="1" applyFill="1" applyAlignment="1" applyProtection="1">
      <alignment horizontal="left" vertical="center" wrapText="1"/>
      <protection hidden="1"/>
    </xf>
    <xf numFmtId="0" fontId="54" fillId="6" borderId="12" xfId="0" applyFont="1" applyFill="1" applyBorder="1" applyAlignment="1" applyProtection="1">
      <alignment vertical="center" wrapText="1" shrinkToFit="1"/>
      <protection hidden="1"/>
    </xf>
    <xf numFmtId="0" fontId="54" fillId="6" borderId="9" xfId="0" applyFont="1" applyFill="1" applyBorder="1" applyAlignment="1" applyProtection="1">
      <alignment vertical="center" wrapText="1" shrinkToFit="1"/>
      <protection hidden="1"/>
    </xf>
    <xf numFmtId="0" fontId="54" fillId="6" borderId="28" xfId="0" applyFont="1" applyFill="1" applyBorder="1" applyAlignment="1" applyProtection="1">
      <alignment vertical="center" wrapText="1" shrinkToFit="1"/>
      <protection hidden="1"/>
    </xf>
    <xf numFmtId="0" fontId="54" fillId="6" borderId="5" xfId="0" applyFont="1" applyFill="1" applyBorder="1" applyAlignment="1" applyProtection="1">
      <alignment vertical="center" wrapText="1" shrinkToFit="1"/>
      <protection hidden="1"/>
    </xf>
    <xf numFmtId="0" fontId="54" fillId="6" borderId="10" xfId="0" applyFont="1" applyFill="1" applyBorder="1" applyAlignment="1" applyProtection="1">
      <alignment vertical="center" wrapText="1" shrinkToFit="1"/>
      <protection hidden="1"/>
    </xf>
    <xf numFmtId="0" fontId="0" fillId="0" borderId="12" xfId="0" applyBorder="1"/>
    <xf numFmtId="0" fontId="0" fillId="0" borderId="28" xfId="0" applyBorder="1"/>
    <xf numFmtId="0" fontId="0" fillId="0" borderId="5" xfId="0" applyBorder="1"/>
    <xf numFmtId="0" fontId="0" fillId="0" borderId="10" xfId="0" applyBorder="1"/>
    <xf numFmtId="0" fontId="34" fillId="6" borderId="10" xfId="0" applyFont="1" applyFill="1" applyBorder="1" applyAlignment="1" applyProtection="1">
      <alignment vertical="center"/>
      <protection hidden="1"/>
    </xf>
    <xf numFmtId="0" fontId="58" fillId="7" borderId="1" xfId="0" applyFont="1" applyFill="1" applyBorder="1" applyAlignment="1" applyProtection="1">
      <alignment horizontal="center" vertical="center"/>
      <protection locked="0" hidden="1"/>
    </xf>
    <xf numFmtId="0" fontId="34" fillId="6" borderId="8" xfId="0" applyFont="1" applyFill="1" applyBorder="1" applyAlignment="1" applyProtection="1">
      <alignment vertical="center"/>
      <protection hidden="1"/>
    </xf>
    <xf numFmtId="0" fontId="31" fillId="6" borderId="12" xfId="0" applyFont="1" applyFill="1" applyBorder="1" applyAlignment="1" applyProtection="1">
      <alignment vertical="center"/>
      <protection hidden="1"/>
    </xf>
    <xf numFmtId="0" fontId="31" fillId="6" borderId="9" xfId="0" applyFont="1" applyFill="1" applyBorder="1" applyAlignment="1" applyProtection="1">
      <alignment vertical="center"/>
      <protection hidden="1"/>
    </xf>
    <xf numFmtId="0" fontId="32" fillId="8" borderId="2" xfId="0" applyFont="1" applyFill="1" applyBorder="1" applyAlignment="1" applyProtection="1">
      <alignment vertical="center"/>
      <protection locked="0" hidden="1"/>
    </xf>
    <xf numFmtId="0" fontId="54" fillId="6" borderId="7" xfId="0" applyFont="1" applyFill="1" applyBorder="1" applyAlignment="1" applyProtection="1">
      <alignment vertical="center" wrapText="1" shrinkToFit="1"/>
      <protection hidden="1"/>
    </xf>
    <xf numFmtId="0" fontId="54" fillId="6" borderId="8" xfId="0" applyFont="1" applyFill="1" applyBorder="1" applyAlignment="1" applyProtection="1">
      <alignment vertical="center" wrapText="1" shrinkToFit="1"/>
      <protection hidden="1"/>
    </xf>
    <xf numFmtId="0" fontId="36" fillId="4" borderId="12" xfId="0" applyFont="1" applyFill="1" applyBorder="1" applyAlignment="1" applyProtection="1">
      <alignment vertical="center"/>
      <protection locked="0" hidden="1"/>
    </xf>
    <xf numFmtId="0" fontId="0" fillId="13" borderId="0" xfId="0" applyFill="1" applyAlignment="1" applyProtection="1">
      <alignment vertical="center"/>
      <protection hidden="1"/>
    </xf>
    <xf numFmtId="0" fontId="7" fillId="13" borderId="0" xfId="0" applyFont="1" applyFill="1" applyAlignment="1" applyProtection="1">
      <alignment vertical="center"/>
      <protection hidden="1"/>
    </xf>
    <xf numFmtId="164" fontId="33" fillId="6" borderId="66" xfId="0" applyNumberFormat="1" applyFont="1" applyFill="1" applyBorder="1" applyAlignment="1" applyProtection="1">
      <alignment horizontal="center" vertical="center"/>
      <protection hidden="1"/>
    </xf>
    <xf numFmtId="164" fontId="33" fillId="6" borderId="66" xfId="0" applyNumberFormat="1" applyFont="1" applyFill="1" applyBorder="1" applyAlignment="1" applyProtection="1">
      <alignment horizontal="left" vertical="center"/>
      <protection hidden="1"/>
    </xf>
    <xf numFmtId="0" fontId="33" fillId="6" borderId="66" xfId="0" applyFont="1" applyFill="1" applyBorder="1" applyAlignment="1" applyProtection="1">
      <alignment vertical="center"/>
      <protection hidden="1"/>
    </xf>
    <xf numFmtId="0" fontId="34" fillId="6" borderId="65" xfId="0" applyFont="1" applyFill="1" applyBorder="1" applyAlignment="1" applyProtection="1">
      <alignment horizontal="center" vertical="center"/>
      <protection hidden="1"/>
    </xf>
    <xf numFmtId="0" fontId="77" fillId="6" borderId="73" xfId="0" applyFont="1" applyFill="1" applyBorder="1" applyAlignment="1" applyProtection="1">
      <alignment horizontal="center" vertical="center"/>
      <protection hidden="1"/>
    </xf>
    <xf numFmtId="0" fontId="77" fillId="6" borderId="74" xfId="0" applyFont="1" applyFill="1" applyBorder="1" applyAlignment="1" applyProtection="1">
      <alignment horizontal="center" vertical="center" wrapText="1"/>
      <protection hidden="1"/>
    </xf>
    <xf numFmtId="0" fontId="7" fillId="13" borderId="0" xfId="0" applyFont="1" applyFill="1" applyAlignment="1">
      <alignment horizontal="center" shrinkToFit="1"/>
    </xf>
    <xf numFmtId="0" fontId="13" fillId="6" borderId="65" xfId="0" applyFont="1" applyFill="1" applyBorder="1" applyAlignment="1">
      <alignment horizontal="center" vertical="center"/>
    </xf>
    <xf numFmtId="0" fontId="51" fillId="6" borderId="65" xfId="0" applyFont="1" applyFill="1" applyBorder="1" applyAlignment="1">
      <alignment horizontal="center" vertical="center" wrapText="1"/>
    </xf>
    <xf numFmtId="0" fontId="51" fillId="6" borderId="65" xfId="0" applyFont="1" applyFill="1" applyBorder="1" applyAlignment="1">
      <alignment horizontal="center" vertical="center" shrinkToFit="1"/>
    </xf>
    <xf numFmtId="0" fontId="50" fillId="6" borderId="65" xfId="0" applyFont="1" applyFill="1" applyBorder="1" applyAlignment="1">
      <alignment horizontal="center" vertical="center" shrinkToFit="1"/>
    </xf>
    <xf numFmtId="0" fontId="13" fillId="6" borderId="65" xfId="0" applyFont="1" applyFill="1" applyBorder="1" applyAlignment="1">
      <alignment vertical="center" shrinkToFit="1"/>
    </xf>
    <xf numFmtId="49" fontId="35" fillId="6" borderId="82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5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7" fillId="4" borderId="18" xfId="0" applyFont="1" applyFill="1" applyBorder="1"/>
    <xf numFmtId="0" fontId="10" fillId="4" borderId="17" xfId="0" applyFont="1" applyFill="1" applyBorder="1"/>
    <xf numFmtId="0" fontId="10" fillId="4" borderId="17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48" fillId="4" borderId="23" xfId="0" applyFont="1" applyFill="1" applyBorder="1" applyAlignment="1" applyProtection="1">
      <alignment horizontal="center" vertical="center" shrinkToFit="1"/>
      <protection locked="0"/>
    </xf>
    <xf numFmtId="0" fontId="21" fillId="4" borderId="1" xfId="0" applyFont="1" applyFill="1" applyBorder="1" applyAlignment="1" applyProtection="1">
      <alignment horizontal="center" vertical="center" shrinkToFit="1"/>
      <protection locked="0"/>
    </xf>
    <xf numFmtId="0" fontId="33" fillId="6" borderId="73" xfId="0" applyFont="1" applyFill="1" applyBorder="1" applyAlignment="1" applyProtection="1">
      <alignment horizontal="center" vertical="center" wrapText="1"/>
      <protection hidden="1"/>
    </xf>
    <xf numFmtId="0" fontId="33" fillId="6" borderId="74" xfId="0" applyFont="1" applyFill="1" applyBorder="1" applyAlignment="1" applyProtection="1">
      <alignment horizontal="center" vertical="center" wrapText="1"/>
      <protection hidden="1"/>
    </xf>
    <xf numFmtId="0" fontId="83" fillId="0" borderId="0" xfId="0" applyFont="1"/>
    <xf numFmtId="0" fontId="84" fillId="0" borderId="0" xfId="0" applyFont="1" applyAlignment="1">
      <alignment vertical="center"/>
    </xf>
    <xf numFmtId="0" fontId="85" fillId="0" borderId="0" xfId="0" applyFont="1" applyAlignment="1">
      <alignment vertical="center"/>
    </xf>
    <xf numFmtId="0" fontId="84" fillId="4" borderId="0" xfId="0" applyFont="1" applyFill="1" applyAlignment="1">
      <alignment vertical="center"/>
    </xf>
    <xf numFmtId="0" fontId="84" fillId="4" borderId="0" xfId="0" applyFont="1" applyFill="1" applyAlignment="1">
      <alignment horizontal="center" vertical="center"/>
    </xf>
    <xf numFmtId="0" fontId="86" fillId="4" borderId="0" xfId="0" applyFont="1" applyFill="1" applyAlignment="1">
      <alignment vertical="center"/>
    </xf>
    <xf numFmtId="0" fontId="86" fillId="4" borderId="0" xfId="0" applyFont="1" applyFill="1" applyAlignment="1">
      <alignment horizontal="right" vertical="center" indent="1"/>
    </xf>
    <xf numFmtId="0" fontId="86" fillId="0" borderId="0" xfId="0" applyFont="1"/>
    <xf numFmtId="0" fontId="83" fillId="0" borderId="0" xfId="0" applyFont="1" applyAlignment="1">
      <alignment shrinkToFit="1"/>
    </xf>
    <xf numFmtId="1" fontId="83" fillId="0" borderId="0" xfId="0" applyNumberFormat="1" applyFont="1"/>
    <xf numFmtId="0" fontId="83" fillId="0" borderId="0" xfId="0" applyFont="1" applyAlignment="1">
      <alignment vertical="center"/>
    </xf>
    <xf numFmtId="0" fontId="87" fillId="0" borderId="0" xfId="0" applyFont="1"/>
    <xf numFmtId="0" fontId="88" fillId="10" borderId="0" xfId="0" applyFont="1" applyFill="1" applyAlignment="1">
      <alignment vertical="center"/>
    </xf>
    <xf numFmtId="0" fontId="88" fillId="10" borderId="0" xfId="0" applyFont="1" applyFill="1"/>
    <xf numFmtId="0" fontId="23" fillId="0" borderId="0" xfId="0" applyFont="1" applyAlignment="1">
      <alignment horizontal="center"/>
    </xf>
    <xf numFmtId="0" fontId="2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  <xf numFmtId="0" fontId="90" fillId="0" borderId="0" xfId="0" applyFont="1" applyAlignment="1">
      <alignment horizontal="center" wrapText="1"/>
    </xf>
    <xf numFmtId="0" fontId="91" fillId="0" borderId="0" xfId="0" applyFont="1" applyAlignment="1">
      <alignment horizontal="center" wrapText="1"/>
    </xf>
    <xf numFmtId="0" fontId="49" fillId="0" borderId="0" xfId="0" applyFont="1" applyAlignment="1">
      <alignment horizontal="center" wrapText="1"/>
    </xf>
    <xf numFmtId="9" fontId="22" fillId="0" borderId="0" xfId="0" applyNumberFormat="1" applyFont="1"/>
    <xf numFmtId="1" fontId="22" fillId="0" borderId="0" xfId="0" applyNumberFormat="1" applyFont="1"/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 applyProtection="1">
      <alignment vertical="center"/>
      <protection hidden="1"/>
    </xf>
    <xf numFmtId="0" fontId="92" fillId="9" borderId="0" xfId="0" applyFont="1" applyFill="1" applyAlignment="1" applyProtection="1">
      <alignment vertical="center" wrapText="1"/>
      <protection hidden="1"/>
    </xf>
    <xf numFmtId="1" fontId="7" fillId="4" borderId="0" xfId="0" applyNumberFormat="1" applyFont="1" applyFill="1" applyAlignment="1" applyProtection="1">
      <alignment vertical="center"/>
      <protection hidden="1"/>
    </xf>
    <xf numFmtId="0" fontId="23" fillId="4" borderId="90" xfId="0" applyFont="1" applyFill="1" applyBorder="1" applyAlignment="1">
      <alignment horizontal="center" vertical="center"/>
    </xf>
    <xf numFmtId="0" fontId="24" fillId="4" borderId="90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center" vertical="center" wrapText="1"/>
    </xf>
    <xf numFmtId="164" fontId="22" fillId="4" borderId="22" xfId="0" applyNumberFormat="1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91" fillId="0" borderId="0" xfId="0" applyFont="1" applyAlignment="1" applyProtection="1">
      <alignment horizontal="center" wrapText="1"/>
      <protection hidden="1"/>
    </xf>
    <xf numFmtId="0" fontId="11" fillId="4" borderId="43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33" fillId="6" borderId="65" xfId="0" applyFont="1" applyFill="1" applyBorder="1" applyAlignment="1" applyProtection="1">
      <alignment horizontal="center" vertical="center"/>
      <protection hidden="1"/>
    </xf>
    <xf numFmtId="0" fontId="22" fillId="4" borderId="22" xfId="0" applyFont="1" applyFill="1" applyBorder="1" applyAlignment="1">
      <alignment horizontal="center" vertical="center" shrinkToFit="1"/>
    </xf>
    <xf numFmtId="0" fontId="33" fillId="13" borderId="81" xfId="0" applyFont="1" applyFill="1" applyBorder="1" applyAlignment="1" applyProtection="1">
      <alignment vertical="center" wrapText="1"/>
      <protection hidden="1"/>
    </xf>
    <xf numFmtId="0" fontId="70" fillId="6" borderId="74" xfId="0" applyFont="1" applyFill="1" applyBorder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>
      <alignment horizontal="left"/>
    </xf>
    <xf numFmtId="0" fontId="7" fillId="4" borderId="0" xfId="0" applyFont="1" applyFill="1" applyAlignment="1" applyProtection="1">
      <alignment horizontal="center" vertical="center"/>
      <protection hidden="1"/>
    </xf>
    <xf numFmtId="0" fontId="33" fillId="6" borderId="65" xfId="0" applyFont="1" applyFill="1" applyBorder="1" applyAlignment="1" applyProtection="1">
      <alignment horizontal="center" vertical="center" wrapText="1" shrinkToFit="1"/>
      <protection hidden="1"/>
    </xf>
    <xf numFmtId="0" fontId="0" fillId="6" borderId="65" xfId="0" applyFill="1" applyBorder="1" applyAlignment="1" applyProtection="1">
      <alignment horizontal="center" vertical="center"/>
      <protection hidden="1"/>
    </xf>
    <xf numFmtId="0" fontId="62" fillId="6" borderId="65" xfId="0" applyFont="1" applyFill="1" applyBorder="1" applyAlignment="1" applyProtection="1">
      <alignment horizontal="center" vertical="center"/>
      <protection hidden="1"/>
    </xf>
    <xf numFmtId="0" fontId="63" fillId="6" borderId="65" xfId="0" applyFont="1" applyFill="1" applyBorder="1" applyAlignment="1" applyProtection="1">
      <alignment horizontal="center" vertical="center" wrapText="1" shrinkToFit="1"/>
      <protection hidden="1"/>
    </xf>
    <xf numFmtId="0" fontId="110" fillId="4" borderId="0" xfId="2" applyFont="1" applyFill="1" applyAlignment="1">
      <alignment horizontal="center" vertical="center" wrapText="1"/>
    </xf>
    <xf numFmtId="0" fontId="110" fillId="0" borderId="0" xfId="2" applyFont="1" applyAlignment="1">
      <alignment horizontal="center" vertical="center" wrapText="1"/>
    </xf>
    <xf numFmtId="0" fontId="111" fillId="4" borderId="103" xfId="2" applyFont="1" applyFill="1" applyBorder="1" applyAlignment="1">
      <alignment horizontal="right" vertical="center" wrapText="1"/>
    </xf>
    <xf numFmtId="0" fontId="113" fillId="0" borderId="0" xfId="0" applyFont="1"/>
    <xf numFmtId="0" fontId="114" fillId="0" borderId="0" xfId="0" applyFont="1"/>
    <xf numFmtId="1" fontId="114" fillId="17" borderId="101" xfId="0" applyNumberFormat="1" applyFont="1" applyFill="1" applyBorder="1" applyAlignment="1">
      <alignment horizontal="center"/>
    </xf>
    <xf numFmtId="0" fontId="0" fillId="18" borderId="101" xfId="0" applyFill="1" applyBorder="1" applyAlignment="1">
      <alignment horizontal="left"/>
    </xf>
    <xf numFmtId="0" fontId="0" fillId="18" borderId="101" xfId="0" applyFill="1" applyBorder="1" applyAlignment="1">
      <alignment horizontal="center"/>
    </xf>
    <xf numFmtId="0" fontId="114" fillId="19" borderId="101" xfId="0" applyFont="1" applyFill="1" applyBorder="1" applyAlignment="1">
      <alignment horizontal="center"/>
    </xf>
    <xf numFmtId="0" fontId="114" fillId="16" borderId="101" xfId="0" applyFont="1" applyFill="1" applyBorder="1" applyAlignment="1">
      <alignment horizontal="center"/>
    </xf>
    <xf numFmtId="1" fontId="114" fillId="16" borderId="101" xfId="0" applyNumberFormat="1" applyFont="1" applyFill="1" applyBorder="1"/>
    <xf numFmtId="1" fontId="114" fillId="17" borderId="101" xfId="0" applyNumberFormat="1" applyFont="1" applyFill="1" applyBorder="1" applyAlignment="1">
      <alignment horizontal="right"/>
    </xf>
    <xf numFmtId="0" fontId="0" fillId="18" borderId="101" xfId="0" applyFill="1" applyBorder="1"/>
    <xf numFmtId="0" fontId="114" fillId="19" borderId="101" xfId="0" applyFont="1" applyFill="1" applyBorder="1" applyAlignment="1">
      <alignment horizontal="right"/>
    </xf>
    <xf numFmtId="0" fontId="31" fillId="4" borderId="0" xfId="0" applyFont="1" applyFill="1" applyAlignment="1">
      <alignment vertical="center"/>
    </xf>
    <xf numFmtId="0" fontId="31" fillId="20" borderId="51" xfId="0" applyFont="1" applyFill="1" applyBorder="1" applyAlignment="1">
      <alignment horizontal="center" vertical="center" wrapText="1"/>
    </xf>
    <xf numFmtId="1" fontId="110" fillId="0" borderId="1" xfId="2" applyNumberFormat="1" applyFont="1" applyBorder="1" applyAlignment="1">
      <alignment horizontal="center" vertical="center" wrapText="1"/>
    </xf>
    <xf numFmtId="0" fontId="111" fillId="0" borderId="25" xfId="2" applyFont="1" applyBorder="1" applyAlignment="1">
      <alignment horizontal="center" vertical="center" wrapText="1"/>
    </xf>
    <xf numFmtId="1" fontId="111" fillId="0" borderId="25" xfId="2" applyNumberFormat="1" applyFont="1" applyBorder="1" applyAlignment="1">
      <alignment horizontal="center" vertical="center" wrapText="1"/>
    </xf>
    <xf numFmtId="1" fontId="111" fillId="0" borderId="26" xfId="2" applyNumberFormat="1" applyFont="1" applyBorder="1" applyAlignment="1">
      <alignment horizontal="center" vertical="center" wrapText="1"/>
    </xf>
    <xf numFmtId="0" fontId="114" fillId="19" borderId="101" xfId="0" applyFont="1" applyFill="1" applyBorder="1"/>
    <xf numFmtId="0" fontId="114" fillId="16" borderId="101" xfId="0" applyFont="1" applyFill="1" applyBorder="1" applyAlignment="1">
      <alignment horizontal="right"/>
    </xf>
    <xf numFmtId="0" fontId="114" fillId="16" borderId="101" xfId="0" applyFont="1" applyFill="1" applyBorder="1"/>
    <xf numFmtId="0" fontId="31" fillId="20" borderId="23" xfId="0" applyFont="1" applyFill="1" applyBorder="1" applyAlignment="1">
      <alignment horizontal="center" vertical="center" wrapText="1"/>
    </xf>
    <xf numFmtId="0" fontId="111" fillId="0" borderId="24" xfId="2" applyFont="1" applyBorder="1" applyAlignment="1">
      <alignment horizontal="center" vertical="center" wrapText="1"/>
    </xf>
    <xf numFmtId="1" fontId="111" fillId="0" borderId="25" xfId="2" applyNumberFormat="1" applyFont="1" applyBorder="1" applyAlignment="1">
      <alignment horizontal="center" vertical="center" shrinkToFit="1"/>
    </xf>
    <xf numFmtId="0" fontId="114" fillId="19" borderId="101" xfId="0" applyFont="1" applyFill="1" applyBorder="1" applyAlignment="1">
      <alignment horizontal="left"/>
    </xf>
    <xf numFmtId="0" fontId="114" fillId="4" borderId="0" xfId="0" applyFont="1" applyFill="1"/>
    <xf numFmtId="0" fontId="0" fillId="4" borderId="0" xfId="0" applyFill="1" applyAlignment="1">
      <alignment horizontal="right"/>
    </xf>
    <xf numFmtId="0" fontId="111" fillId="0" borderId="24" xfId="2" applyFont="1" applyBorder="1" applyAlignment="1">
      <alignment horizontal="center" vertical="center" shrinkToFit="1"/>
    </xf>
    <xf numFmtId="0" fontId="110" fillId="4" borderId="17" xfId="2" applyFont="1" applyFill="1" applyBorder="1" applyAlignment="1">
      <alignment horizontal="center" vertical="center" wrapText="1"/>
    </xf>
    <xf numFmtId="0" fontId="110" fillId="4" borderId="18" xfId="2" applyFont="1" applyFill="1" applyBorder="1" applyAlignment="1">
      <alignment horizontal="center" vertical="center" wrapText="1"/>
    </xf>
    <xf numFmtId="0" fontId="110" fillId="4" borderId="0" xfId="2" applyFont="1" applyFill="1" applyAlignment="1">
      <alignment horizontal="left" vertical="center" wrapText="1"/>
    </xf>
    <xf numFmtId="0" fontId="0" fillId="0" borderId="0" xfId="0" applyAlignment="1">
      <alignment horizontal="right"/>
    </xf>
    <xf numFmtId="168" fontId="111" fillId="4" borderId="104" xfId="2" applyNumberFormat="1" applyFont="1" applyFill="1" applyBorder="1" applyAlignment="1" applyProtection="1">
      <alignment horizontal="center" vertical="center" shrinkToFit="1"/>
      <protection locked="0"/>
    </xf>
    <xf numFmtId="167" fontId="110" fillId="4" borderId="20" xfId="2" applyNumberFormat="1" applyFont="1" applyFill="1" applyBorder="1" applyAlignment="1" applyProtection="1">
      <alignment horizontal="left" vertical="center" wrapText="1"/>
      <protection locked="0"/>
    </xf>
    <xf numFmtId="0" fontId="100" fillId="21" borderId="0" xfId="0" applyFont="1" applyFill="1" applyAlignment="1" applyProtection="1">
      <alignment vertical="center"/>
      <protection hidden="1"/>
    </xf>
    <xf numFmtId="0" fontId="66" fillId="8" borderId="0" xfId="0" applyFont="1" applyFill="1" applyAlignment="1" applyProtection="1">
      <alignment horizontal="center" vertical="center"/>
      <protection locked="0" hidden="1"/>
    </xf>
    <xf numFmtId="164" fontId="23" fillId="4" borderId="22" xfId="0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 shrinkToFit="1"/>
    </xf>
    <xf numFmtId="164" fontId="22" fillId="4" borderId="22" xfId="0" applyNumberFormat="1" applyFont="1" applyFill="1" applyBorder="1" applyAlignment="1">
      <alignment horizontal="center" vertical="center" shrinkToFit="1"/>
    </xf>
    <xf numFmtId="164" fontId="48" fillId="4" borderId="22" xfId="0" applyNumberFormat="1" applyFont="1" applyFill="1" applyBorder="1" applyAlignment="1">
      <alignment horizontal="center" vertical="center" shrinkToFi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0" borderId="1" xfId="0" applyFont="1" applyBorder="1"/>
    <xf numFmtId="0" fontId="31" fillId="0" borderId="11" xfId="0" applyFont="1" applyBorder="1" applyAlignment="1">
      <alignment vertical="center"/>
    </xf>
    <xf numFmtId="0" fontId="31" fillId="0" borderId="0" xfId="0" quotePrefix="1" applyFont="1" applyAlignment="1">
      <alignment vertical="center"/>
    </xf>
    <xf numFmtId="0" fontId="31" fillId="0" borderId="28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5" xfId="0" applyFont="1" applyBorder="1"/>
    <xf numFmtId="0" fontId="31" fillId="0" borderId="12" xfId="0" applyFont="1" applyBorder="1"/>
    <xf numFmtId="0" fontId="31" fillId="0" borderId="7" xfId="0" applyFont="1" applyBorder="1"/>
    <xf numFmtId="0" fontId="45" fillId="0" borderId="11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0" borderId="2" xfId="0" applyFont="1" applyBorder="1"/>
    <xf numFmtId="0" fontId="31" fillId="0" borderId="6" xfId="0" applyFont="1" applyBorder="1"/>
    <xf numFmtId="0" fontId="31" fillId="0" borderId="29" xfId="0" applyFont="1" applyBorder="1"/>
    <xf numFmtId="0" fontId="31" fillId="0" borderId="2" xfId="0" applyFont="1" applyBorder="1" applyAlignment="1">
      <alignment vertical="center"/>
    </xf>
    <xf numFmtId="0" fontId="45" fillId="0" borderId="2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1" fillId="0" borderId="3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4" borderId="0" xfId="0" applyFont="1" applyFill="1"/>
    <xf numFmtId="0" fontId="112" fillId="4" borderId="0" xfId="0" applyFont="1" applyFill="1" applyAlignment="1">
      <alignment vertical="center"/>
    </xf>
    <xf numFmtId="0" fontId="50" fillId="4" borderId="1" xfId="0" applyFont="1" applyFill="1" applyBorder="1" applyAlignment="1" applyProtection="1">
      <alignment vertical="center"/>
      <protection locked="0"/>
    </xf>
    <xf numFmtId="0" fontId="50" fillId="4" borderId="1" xfId="0" applyFont="1" applyFill="1" applyBorder="1" applyAlignment="1">
      <alignment vertical="center" shrinkToFit="1"/>
    </xf>
    <xf numFmtId="0" fontId="22" fillId="4" borderId="69" xfId="0" applyFont="1" applyFill="1" applyBorder="1" applyAlignment="1" applyProtection="1">
      <alignment horizontal="center" vertical="center"/>
      <protection locked="0" hidden="1"/>
    </xf>
    <xf numFmtId="0" fontId="22" fillId="4" borderId="65" xfId="0" applyFont="1" applyFill="1" applyBorder="1" applyAlignment="1" applyProtection="1">
      <alignment horizontal="center" vertical="center" wrapText="1"/>
      <protection locked="0" hidden="1"/>
    </xf>
    <xf numFmtId="0" fontId="22" fillId="4" borderId="65" xfId="0" applyFont="1" applyFill="1" applyBorder="1" applyAlignment="1" applyProtection="1">
      <alignment horizontal="center" vertical="center"/>
      <protection locked="0" hidden="1"/>
    </xf>
    <xf numFmtId="0" fontId="66" fillId="4" borderId="67" xfId="0" applyFont="1" applyFill="1" applyBorder="1" applyAlignment="1" applyProtection="1">
      <alignment horizontal="center" vertical="center"/>
      <protection locked="0" hidden="1"/>
    </xf>
    <xf numFmtId="0" fontId="31" fillId="4" borderId="67" xfId="0" applyFont="1" applyFill="1" applyBorder="1" applyAlignment="1" applyProtection="1">
      <alignment horizontal="center" vertical="center"/>
      <protection locked="0" hidden="1"/>
    </xf>
    <xf numFmtId="0" fontId="33" fillId="22" borderId="0" xfId="0" applyFont="1" applyFill="1" applyAlignment="1" applyProtection="1">
      <alignment vertical="center"/>
      <protection hidden="1"/>
    </xf>
    <xf numFmtId="0" fontId="0" fillId="22" borderId="0" xfId="0" applyFill="1" applyAlignment="1" applyProtection="1">
      <alignment vertical="center"/>
      <protection hidden="1"/>
    </xf>
    <xf numFmtId="0" fontId="7" fillId="22" borderId="0" xfId="0" applyFont="1" applyFill="1" applyAlignment="1" applyProtection="1">
      <alignment vertical="center"/>
      <protection hidden="1"/>
    </xf>
    <xf numFmtId="0" fontId="57" fillId="22" borderId="0" xfId="0" applyFont="1" applyFill="1" applyAlignment="1" applyProtection="1">
      <alignment vertical="top" wrapText="1"/>
      <protection hidden="1"/>
    </xf>
    <xf numFmtId="169" fontId="16" fillId="22" borderId="0" xfId="0" applyNumberFormat="1" applyFont="1" applyFill="1" applyAlignment="1" applyProtection="1">
      <alignment horizontal="left" vertical="center"/>
      <protection hidden="1"/>
    </xf>
    <xf numFmtId="14" fontId="80" fillId="22" borderId="0" xfId="0" applyNumberFormat="1" applyFont="1" applyFill="1" applyAlignment="1" applyProtection="1">
      <alignment horizontal="left" vertical="center"/>
      <protection hidden="1"/>
    </xf>
    <xf numFmtId="0" fontId="66" fillId="22" borderId="0" xfId="0" applyFont="1" applyFill="1" applyAlignment="1" applyProtection="1">
      <alignment vertical="center"/>
      <protection hidden="1"/>
    </xf>
    <xf numFmtId="0" fontId="127" fillId="22" borderId="0" xfId="0" applyFont="1" applyFill="1" applyAlignment="1" applyProtection="1">
      <alignment horizontal="center" vertical="center" wrapText="1"/>
      <protection hidden="1"/>
    </xf>
    <xf numFmtId="0" fontId="127" fillId="22" borderId="0" xfId="0" applyFont="1" applyFill="1" applyAlignment="1" applyProtection="1">
      <alignment vertical="center"/>
      <protection hidden="1"/>
    </xf>
    <xf numFmtId="0" fontId="129" fillId="22" borderId="0" xfId="0" applyFont="1" applyFill="1" applyAlignment="1" applyProtection="1">
      <alignment vertical="center"/>
      <protection hidden="1"/>
    </xf>
    <xf numFmtId="0" fontId="127" fillId="22" borderId="0" xfId="0" applyFont="1" applyFill="1" applyAlignment="1" applyProtection="1">
      <alignment vertical="center" wrapText="1"/>
      <protection hidden="1"/>
    </xf>
    <xf numFmtId="0" fontId="130" fillId="22" borderId="0" xfId="0" applyFont="1" applyFill="1" applyAlignment="1" applyProtection="1">
      <alignment vertical="top" wrapText="1"/>
      <protection hidden="1"/>
    </xf>
    <xf numFmtId="164" fontId="127" fillId="22" borderId="0" xfId="0" applyNumberFormat="1" applyFont="1" applyFill="1" applyAlignment="1" applyProtection="1">
      <alignment horizontal="left" vertical="center"/>
      <protection hidden="1"/>
    </xf>
    <xf numFmtId="0" fontId="0" fillId="22" borderId="83" xfId="0" applyFill="1" applyBorder="1" applyAlignment="1" applyProtection="1">
      <alignment vertical="center"/>
      <protection hidden="1"/>
    </xf>
    <xf numFmtId="0" fontId="92" fillId="22" borderId="0" xfId="0" applyFont="1" applyFill="1" applyAlignment="1" applyProtection="1">
      <alignment vertical="center" wrapText="1"/>
      <protection hidden="1"/>
    </xf>
    <xf numFmtId="0" fontId="90" fillId="22" borderId="0" xfId="0" applyFont="1" applyFill="1" applyAlignment="1" applyProtection="1">
      <alignment horizontal="center" wrapText="1"/>
      <protection hidden="1"/>
    </xf>
    <xf numFmtId="0" fontId="49" fillId="22" borderId="0" xfId="0" applyFont="1" applyFill="1" applyAlignment="1" applyProtection="1">
      <alignment horizontal="center" wrapText="1"/>
      <protection hidden="1"/>
    </xf>
    <xf numFmtId="0" fontId="55" fillId="22" borderId="0" xfId="0" applyFont="1" applyFill="1" applyAlignment="1" applyProtection="1">
      <alignment horizontal="left" vertical="center" wrapText="1" shrinkToFit="1"/>
      <protection hidden="1"/>
    </xf>
    <xf numFmtId="49" fontId="33" fillId="22" borderId="0" xfId="0" applyNumberFormat="1" applyFont="1" applyFill="1" applyAlignment="1" applyProtection="1">
      <alignment vertical="center" wrapText="1"/>
      <protection hidden="1"/>
    </xf>
    <xf numFmtId="0" fontId="33" fillId="22" borderId="0" xfId="0" applyFont="1" applyFill="1" applyAlignment="1" applyProtection="1">
      <alignment vertical="center" wrapText="1"/>
      <protection hidden="1"/>
    </xf>
    <xf numFmtId="0" fontId="106" fillId="22" borderId="0" xfId="0" applyFont="1" applyFill="1" applyAlignment="1" applyProtection="1">
      <alignment vertical="center" wrapText="1"/>
      <protection hidden="1"/>
    </xf>
    <xf numFmtId="0" fontId="33" fillId="22" borderId="0" xfId="0" applyFont="1" applyFill="1" applyAlignment="1" applyProtection="1">
      <alignment horizontal="left" vertical="center"/>
      <protection hidden="1"/>
    </xf>
    <xf numFmtId="0" fontId="31" fillId="22" borderId="0" xfId="0" applyFont="1" applyFill="1" applyAlignment="1" applyProtection="1">
      <alignment horizontal="center" vertical="center"/>
      <protection hidden="1"/>
    </xf>
    <xf numFmtId="0" fontId="35" fillId="22" borderId="0" xfId="0" applyFont="1" applyFill="1" applyAlignment="1" applyProtection="1">
      <alignment vertical="center"/>
      <protection hidden="1"/>
    </xf>
    <xf numFmtId="0" fontId="7" fillId="22" borderId="0" xfId="0" applyFont="1" applyFill="1" applyAlignment="1">
      <alignment shrinkToFit="1"/>
    </xf>
    <xf numFmtId="49" fontId="7" fillId="22" borderId="0" xfId="0" applyNumberFormat="1" applyFont="1" applyFill="1" applyAlignment="1">
      <alignment horizontal="center" shrinkToFit="1"/>
    </xf>
    <xf numFmtId="0" fontId="7" fillId="22" borderId="0" xfId="0" applyFont="1" applyFill="1" applyAlignment="1">
      <alignment horizontal="center" shrinkToFit="1"/>
    </xf>
    <xf numFmtId="0" fontId="13" fillId="22" borderId="0" xfId="0" applyFont="1" applyFill="1" applyAlignment="1">
      <alignment horizontal="center" vertical="center" shrinkToFit="1"/>
    </xf>
    <xf numFmtId="0" fontId="0" fillId="4" borderId="0" xfId="0" applyFill="1" applyAlignment="1" applyProtection="1">
      <alignment vertical="center"/>
      <protection locked="0" hidden="1"/>
    </xf>
    <xf numFmtId="0" fontId="0" fillId="4" borderId="0" xfId="0" applyFill="1" applyAlignment="1" applyProtection="1">
      <alignment horizontal="center" vertical="center"/>
      <protection locked="0" hidden="1"/>
    </xf>
    <xf numFmtId="0" fontId="22" fillId="4" borderId="70" xfId="0" applyFont="1" applyFill="1" applyBorder="1" applyAlignment="1" applyProtection="1">
      <alignment horizontal="center" vertical="center"/>
      <protection locked="0" hidden="1"/>
    </xf>
    <xf numFmtId="0" fontId="31" fillId="4" borderId="75" xfId="0" applyFont="1" applyFill="1" applyBorder="1" applyAlignment="1" applyProtection="1">
      <alignment vertical="center"/>
      <protection locked="0" hidden="1"/>
    </xf>
    <xf numFmtId="0" fontId="31" fillId="4" borderId="76" xfId="0" applyFont="1" applyFill="1" applyBorder="1" applyAlignment="1" applyProtection="1">
      <alignment vertical="center"/>
      <protection locked="0" hidden="1"/>
    </xf>
    <xf numFmtId="0" fontId="34" fillId="4" borderId="75" xfId="0" applyFont="1" applyFill="1" applyBorder="1" applyAlignment="1" applyProtection="1">
      <alignment horizontal="center" vertical="center"/>
      <protection locked="0" hidden="1"/>
    </xf>
    <xf numFmtId="0" fontId="34" fillId="4" borderId="76" xfId="0" applyFont="1" applyFill="1" applyBorder="1" applyAlignment="1" applyProtection="1">
      <alignment horizontal="center" vertical="center"/>
      <protection locked="0" hidden="1"/>
    </xf>
    <xf numFmtId="0" fontId="66" fillId="4" borderId="73" xfId="0" applyFont="1" applyFill="1" applyBorder="1" applyAlignment="1" applyProtection="1">
      <alignment horizontal="center" vertical="center"/>
      <protection locked="0" hidden="1"/>
    </xf>
    <xf numFmtId="0" fontId="36" fillId="4" borderId="65" xfId="0" applyFont="1" applyFill="1" applyBorder="1" applyAlignment="1" applyProtection="1">
      <alignment horizontal="center" vertical="center"/>
      <protection locked="0" hidden="1"/>
    </xf>
    <xf numFmtId="0" fontId="36" fillId="4" borderId="74" xfId="0" applyFont="1" applyFill="1" applyBorder="1" applyAlignment="1" applyProtection="1">
      <alignment horizontal="center" vertical="center"/>
      <protection locked="0" hidden="1"/>
    </xf>
    <xf numFmtId="0" fontId="31" fillId="4" borderId="77" xfId="0" applyFont="1" applyFill="1" applyBorder="1" applyAlignment="1" applyProtection="1">
      <alignment horizontal="center" vertical="center"/>
      <protection locked="0" hidden="1"/>
    </xf>
    <xf numFmtId="0" fontId="36" fillId="4" borderId="77" xfId="0" applyFont="1" applyFill="1" applyBorder="1" applyAlignment="1" applyProtection="1">
      <alignment horizontal="center" vertical="center"/>
      <protection locked="0" hidden="1"/>
    </xf>
    <xf numFmtId="0" fontId="66" fillId="4" borderId="106" xfId="0" applyFont="1" applyFill="1" applyBorder="1" applyAlignment="1" applyProtection="1">
      <alignment horizontal="center" vertical="center"/>
      <protection locked="0" hidden="1"/>
    </xf>
    <xf numFmtId="0" fontId="33" fillId="4" borderId="75" xfId="0" applyFont="1" applyFill="1" applyBorder="1" applyAlignment="1" applyProtection="1">
      <alignment horizontal="left" vertical="center"/>
      <protection locked="0" hidden="1"/>
    </xf>
    <xf numFmtId="0" fontId="32" fillId="4" borderId="65" xfId="0" applyFont="1" applyFill="1" applyBorder="1" applyAlignment="1" applyProtection="1">
      <alignment vertical="center"/>
      <protection locked="0" hidden="1"/>
    </xf>
    <xf numFmtId="0" fontId="31" fillId="4" borderId="65" xfId="0" applyFont="1" applyFill="1" applyBorder="1" applyAlignment="1" applyProtection="1">
      <alignment vertical="center"/>
      <protection locked="0" hidden="1"/>
    </xf>
    <xf numFmtId="0" fontId="55" fillId="4" borderId="65" xfId="0" applyFont="1" applyFill="1" applyBorder="1" applyAlignment="1" applyProtection="1">
      <alignment horizontal="center" vertical="center" wrapText="1" shrinkToFit="1"/>
      <protection locked="0" hidden="1"/>
    </xf>
    <xf numFmtId="0" fontId="7" fillId="4" borderId="65" xfId="0" applyFont="1" applyFill="1" applyBorder="1" applyAlignment="1" applyProtection="1">
      <alignment shrinkToFit="1"/>
      <protection locked="0"/>
    </xf>
    <xf numFmtId="49" fontId="7" fillId="4" borderId="65" xfId="0" applyNumberFormat="1" applyFont="1" applyFill="1" applyBorder="1" applyAlignment="1" applyProtection="1">
      <alignment horizontal="center" shrinkToFit="1"/>
      <protection locked="0"/>
    </xf>
    <xf numFmtId="0" fontId="13" fillId="4" borderId="65" xfId="0" applyFont="1" applyFill="1" applyBorder="1" applyAlignment="1" applyProtection="1">
      <alignment vertical="center" shrinkToFit="1"/>
      <protection locked="0"/>
    </xf>
    <xf numFmtId="0" fontId="13" fillId="4" borderId="65" xfId="0" applyFont="1" applyFill="1" applyBorder="1" applyAlignment="1" applyProtection="1">
      <alignment horizontal="center" vertical="center" shrinkToFit="1"/>
      <protection locked="0"/>
    </xf>
    <xf numFmtId="0" fontId="31" fillId="4" borderId="68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>
      <alignment vertical="center"/>
    </xf>
    <xf numFmtId="0" fontId="66" fillId="0" borderId="1" xfId="0" applyFont="1" applyBorder="1" applyAlignment="1">
      <alignment vertical="center"/>
    </xf>
    <xf numFmtId="1" fontId="66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2" fillId="0" borderId="0" xfId="0" applyFont="1"/>
    <xf numFmtId="0" fontId="9" fillId="4" borderId="46" xfId="0" applyFont="1" applyFill="1" applyBorder="1" applyAlignment="1">
      <alignment vertical="center"/>
    </xf>
    <xf numFmtId="0" fontId="78" fillId="6" borderId="83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0" fontId="36" fillId="4" borderId="76" xfId="0" applyFont="1" applyFill="1" applyBorder="1" applyAlignment="1" applyProtection="1">
      <alignment horizontal="center" vertical="center"/>
      <protection locked="0" hidden="1"/>
    </xf>
    <xf numFmtId="0" fontId="48" fillId="4" borderId="0" xfId="0" applyFont="1" applyFill="1" applyAlignment="1" applyProtection="1">
      <alignment horizontal="center" vertical="center"/>
      <protection hidden="1"/>
    </xf>
    <xf numFmtId="0" fontId="54" fillId="6" borderId="65" xfId="0" applyFont="1" applyFill="1" applyBorder="1" applyAlignment="1" applyProtection="1">
      <alignment horizontal="center" vertical="center" wrapText="1"/>
      <protection hidden="1"/>
    </xf>
    <xf numFmtId="0" fontId="33" fillId="6" borderId="65" xfId="0" applyFont="1" applyFill="1" applyBorder="1" applyAlignment="1" applyProtection="1">
      <alignment horizontal="center" vertical="center" wrapText="1"/>
      <protection hidden="1"/>
    </xf>
    <xf numFmtId="0" fontId="0" fillId="4" borderId="65" xfId="0" applyFill="1" applyBorder="1" applyAlignment="1" applyProtection="1">
      <alignment horizontal="center" vertical="center"/>
      <protection locked="0" hidden="1"/>
    </xf>
    <xf numFmtId="0" fontId="31" fillId="4" borderId="65" xfId="0" applyFont="1" applyFill="1" applyBorder="1" applyAlignment="1" applyProtection="1">
      <alignment horizontal="center" vertical="center"/>
      <protection locked="0" hidden="1"/>
    </xf>
    <xf numFmtId="0" fontId="31" fillId="4" borderId="88" xfId="0" applyFont="1" applyFill="1" applyBorder="1" applyAlignment="1" applyProtection="1">
      <alignment horizontal="center" vertical="center"/>
      <protection locked="0" hidden="1"/>
    </xf>
    <xf numFmtId="0" fontId="90" fillId="0" borderId="0" xfId="0" applyFont="1" applyAlignment="1" applyProtection="1">
      <alignment horizontal="center" wrapText="1"/>
      <protection hidden="1"/>
    </xf>
    <xf numFmtId="0" fontId="13" fillId="6" borderId="65" xfId="0" applyFont="1" applyFill="1" applyBorder="1" applyAlignment="1">
      <alignment horizontal="center" vertical="center" shrinkToFit="1"/>
    </xf>
    <xf numFmtId="0" fontId="7" fillId="13" borderId="0" xfId="0" applyFont="1" applyFill="1" applyAlignment="1" applyProtection="1">
      <alignment horizontal="center" shrinkToFit="1"/>
      <protection locked="0"/>
    </xf>
    <xf numFmtId="0" fontId="7" fillId="4" borderId="65" xfId="0" applyFont="1" applyFill="1" applyBorder="1" applyAlignment="1" applyProtection="1">
      <alignment horizontal="center" shrinkToFit="1"/>
      <protection locked="0"/>
    </xf>
    <xf numFmtId="0" fontId="7" fillId="8" borderId="65" xfId="0" applyFont="1" applyFill="1" applyBorder="1" applyAlignment="1" applyProtection="1">
      <alignment horizontal="center" shrinkToFit="1"/>
      <protection locked="0"/>
    </xf>
    <xf numFmtId="0" fontId="73" fillId="11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horizontal="center" shrinkToFit="1"/>
      <protection locked="0"/>
    </xf>
    <xf numFmtId="0" fontId="12" fillId="0" borderId="8" xfId="0" applyFont="1" applyBorder="1" applyAlignment="1">
      <alignment horizontal="left" vertical="center" indent="1"/>
    </xf>
    <xf numFmtId="0" fontId="23" fillId="4" borderId="0" xfId="0" applyFont="1" applyFill="1" applyAlignment="1">
      <alignment horizontal="right"/>
    </xf>
    <xf numFmtId="0" fontId="51" fillId="5" borderId="1" xfId="0" applyFont="1" applyFill="1" applyBorder="1" applyAlignment="1">
      <alignment horizontal="center" vertical="center" shrinkToFit="1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165" fontId="25" fillId="4" borderId="0" xfId="0" applyNumberFormat="1" applyFont="1" applyFill="1" applyAlignment="1">
      <alignment horizontal="left" inden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10" fillId="0" borderId="22" xfId="2" applyFont="1" applyBorder="1" applyAlignment="1">
      <alignment horizontal="center" vertical="center" wrapText="1"/>
    </xf>
    <xf numFmtId="0" fontId="110" fillId="0" borderId="1" xfId="2" applyFont="1" applyBorder="1" applyAlignment="1" applyProtection="1">
      <alignment horizontal="center" vertical="center" wrapText="1"/>
      <protection locked="0"/>
    </xf>
    <xf numFmtId="0" fontId="110" fillId="0" borderId="23" xfId="2" applyFont="1" applyBorder="1" applyAlignment="1" applyProtection="1">
      <alignment horizontal="center" vertical="center" wrapText="1"/>
      <protection locked="0"/>
    </xf>
    <xf numFmtId="0" fontId="110" fillId="0" borderId="1" xfId="2" applyFont="1" applyBorder="1" applyAlignment="1">
      <alignment horizontal="center" vertical="center" wrapText="1"/>
    </xf>
    <xf numFmtId="0" fontId="31" fillId="20" borderId="50" xfId="0" applyFont="1" applyFill="1" applyBorder="1" applyAlignment="1">
      <alignment horizontal="center" vertical="center" wrapText="1"/>
    </xf>
    <xf numFmtId="0" fontId="31" fillId="20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left" vertical="center"/>
    </xf>
    <xf numFmtId="0" fontId="9" fillId="4" borderId="5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5" fillId="4" borderId="0" xfId="0" applyFont="1" applyFill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center"/>
    </xf>
    <xf numFmtId="0" fontId="52" fillId="4" borderId="0" xfId="0" applyFont="1" applyFill="1" applyAlignment="1">
      <alignment horizontal="center" vertical="center"/>
    </xf>
    <xf numFmtId="0" fontId="51" fillId="5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97" fillId="14" borderId="78" xfId="0" applyFont="1" applyFill="1" applyBorder="1" applyAlignment="1" applyProtection="1">
      <alignment horizontal="center" vertical="center"/>
      <protection hidden="1"/>
    </xf>
    <xf numFmtId="0" fontId="97" fillId="14" borderId="80" xfId="0" applyFont="1" applyFill="1" applyBorder="1" applyAlignment="1" applyProtection="1">
      <alignment horizontal="center" vertical="center"/>
      <protection hidden="1"/>
    </xf>
    <xf numFmtId="0" fontId="7" fillId="4" borderId="83" xfId="0" applyFont="1" applyFill="1" applyBorder="1" applyAlignment="1" applyProtection="1">
      <alignment horizontal="center" shrinkToFit="1"/>
      <protection locked="0"/>
    </xf>
    <xf numFmtId="0" fontId="7" fillId="4" borderId="69" xfId="0" applyFont="1" applyFill="1" applyBorder="1" applyAlignment="1" applyProtection="1">
      <alignment horizontal="center" shrinkToFit="1"/>
      <protection locked="0"/>
    </xf>
    <xf numFmtId="1" fontId="94" fillId="14" borderId="78" xfId="0" applyNumberFormat="1" applyFont="1" applyFill="1" applyBorder="1" applyAlignment="1" applyProtection="1">
      <alignment horizontal="center" vertical="center"/>
      <protection hidden="1"/>
    </xf>
    <xf numFmtId="1" fontId="94" fillId="14" borderId="79" xfId="0" applyNumberFormat="1" applyFont="1" applyFill="1" applyBorder="1" applyAlignment="1" applyProtection="1">
      <alignment horizontal="center" vertical="center"/>
      <protection hidden="1"/>
    </xf>
    <xf numFmtId="1" fontId="94" fillId="14" borderId="80" xfId="0" applyNumberFormat="1" applyFont="1" applyFill="1" applyBorder="1" applyAlignment="1" applyProtection="1">
      <alignment horizontal="center" vertical="center"/>
      <protection hidden="1"/>
    </xf>
    <xf numFmtId="0" fontId="7" fillId="4" borderId="84" xfId="0" applyFont="1" applyFill="1" applyBorder="1" applyAlignment="1" applyProtection="1">
      <alignment horizontal="center" shrinkToFit="1"/>
      <protection locked="0"/>
    </xf>
    <xf numFmtId="0" fontId="13" fillId="4" borderId="65" xfId="0" applyFont="1" applyFill="1" applyBorder="1" applyAlignment="1" applyProtection="1">
      <alignment horizontal="center" shrinkToFit="1"/>
      <protection locked="0"/>
    </xf>
    <xf numFmtId="0" fontId="13" fillId="22" borderId="65" xfId="0" applyFont="1" applyFill="1" applyBorder="1" applyAlignment="1">
      <alignment horizontal="center" vertical="center" shrinkToFit="1"/>
    </xf>
    <xf numFmtId="0" fontId="7" fillId="4" borderId="65" xfId="0" applyFont="1" applyFill="1" applyBorder="1" applyAlignment="1" applyProtection="1">
      <alignment horizontal="center" shrinkToFit="1"/>
      <protection locked="0"/>
    </xf>
    <xf numFmtId="0" fontId="7" fillId="7" borderId="0" xfId="0" applyFont="1" applyFill="1" applyAlignment="1" applyProtection="1">
      <alignment horizontal="center" shrinkToFit="1"/>
      <protection locked="0"/>
    </xf>
    <xf numFmtId="0" fontId="0" fillId="7" borderId="0" xfId="0" applyFill="1" applyAlignment="1"/>
    <xf numFmtId="0" fontId="33" fillId="6" borderId="86" xfId="0" applyFont="1" applyFill="1" applyBorder="1" applyAlignment="1" applyProtection="1">
      <alignment horizontal="left" vertical="center"/>
      <protection hidden="1"/>
    </xf>
    <xf numFmtId="0" fontId="33" fillId="6" borderId="84" xfId="0" applyFont="1" applyFill="1" applyBorder="1" applyAlignment="1" applyProtection="1">
      <alignment horizontal="left" vertical="center"/>
      <protection hidden="1"/>
    </xf>
    <xf numFmtId="0" fontId="33" fillId="6" borderId="69" xfId="0" applyFont="1" applyFill="1" applyBorder="1" applyAlignment="1" applyProtection="1">
      <alignment horizontal="left" vertical="center"/>
      <protection hidden="1"/>
    </xf>
    <xf numFmtId="0" fontId="33" fillId="6" borderId="75" xfId="0" applyFont="1" applyFill="1" applyBorder="1" applyAlignment="1" applyProtection="1">
      <alignment horizontal="left" vertical="center" wrapText="1"/>
      <protection hidden="1"/>
    </xf>
    <xf numFmtId="0" fontId="33" fillId="6" borderId="88" xfId="0" applyFont="1" applyFill="1" applyBorder="1" applyAlignment="1" applyProtection="1">
      <alignment horizontal="left" vertical="center" wrapText="1"/>
      <protection hidden="1"/>
    </xf>
    <xf numFmtId="0" fontId="33" fillId="6" borderId="98" xfId="0" applyFont="1" applyFill="1" applyBorder="1" applyAlignment="1" applyProtection="1">
      <alignment horizontal="center" vertical="center" wrapText="1"/>
      <protection hidden="1"/>
    </xf>
    <xf numFmtId="0" fontId="33" fillId="6" borderId="99" xfId="0" applyFont="1" applyFill="1" applyBorder="1" applyAlignment="1" applyProtection="1">
      <alignment horizontal="center" vertical="center" wrapText="1"/>
      <protection hidden="1"/>
    </xf>
    <xf numFmtId="0" fontId="33" fillId="6" borderId="69" xfId="0" applyFont="1" applyFill="1" applyBorder="1" applyAlignment="1" applyProtection="1">
      <alignment horizontal="center" vertical="center" wrapText="1"/>
      <protection hidden="1"/>
    </xf>
    <xf numFmtId="0" fontId="108" fillId="6" borderId="98" xfId="0" applyFont="1" applyFill="1" applyBorder="1" applyAlignment="1" applyProtection="1">
      <alignment horizontal="center" vertical="center"/>
      <protection hidden="1"/>
    </xf>
    <xf numFmtId="0" fontId="108" fillId="6" borderId="100" xfId="0" applyFont="1" applyFill="1" applyBorder="1" applyAlignment="1" applyProtection="1">
      <alignment horizontal="center" vertical="center"/>
      <protection hidden="1"/>
    </xf>
    <xf numFmtId="0" fontId="108" fillId="6" borderId="99" xfId="0" applyFont="1" applyFill="1" applyBorder="1" applyAlignment="1" applyProtection="1">
      <alignment horizontal="center" vertical="center"/>
      <protection hidden="1"/>
    </xf>
    <xf numFmtId="0" fontId="62" fillId="6" borderId="65" xfId="0" applyFont="1" applyFill="1" applyBorder="1" applyAlignment="1" applyProtection="1">
      <alignment horizontal="left" vertical="center"/>
      <protection hidden="1"/>
    </xf>
    <xf numFmtId="49" fontId="33" fillId="6" borderId="77" xfId="0" applyNumberFormat="1" applyFont="1" applyFill="1" applyBorder="1" applyAlignment="1" applyProtection="1">
      <alignment horizontal="center" vertical="center" wrapText="1"/>
      <protection hidden="1"/>
    </xf>
    <xf numFmtId="49" fontId="33" fillId="6" borderId="81" xfId="0" applyNumberFormat="1" applyFont="1" applyFill="1" applyBorder="1" applyAlignment="1" applyProtection="1">
      <alignment horizontal="center" vertical="center" wrapText="1"/>
      <protection hidden="1"/>
    </xf>
    <xf numFmtId="0" fontId="55" fillId="6" borderId="0" xfId="0" applyFont="1" applyFill="1" applyAlignment="1" applyProtection="1">
      <alignment horizontal="center" vertical="center" wrapText="1" shrinkToFit="1"/>
      <protection hidden="1"/>
    </xf>
    <xf numFmtId="0" fontId="62" fillId="6" borderId="0" xfId="0" applyFont="1" applyFill="1" applyAlignment="1" applyProtection="1">
      <alignment horizontal="left" vertical="center"/>
      <protection hidden="1"/>
    </xf>
    <xf numFmtId="0" fontId="73" fillId="11" borderId="0" xfId="0" applyFont="1" applyFill="1" applyAlignment="1" applyProtection="1">
      <alignment horizontal="center" vertical="center"/>
      <protection hidden="1"/>
    </xf>
    <xf numFmtId="0" fontId="50" fillId="6" borderId="83" xfId="0" applyFont="1" applyFill="1" applyBorder="1" applyAlignment="1">
      <alignment horizontal="center" vertical="center" shrinkToFit="1"/>
    </xf>
    <xf numFmtId="0" fontId="50" fillId="6" borderId="84" xfId="0" applyFont="1" applyFill="1" applyBorder="1" applyAlignment="1">
      <alignment horizontal="center" vertical="center" shrinkToFit="1"/>
    </xf>
    <xf numFmtId="0" fontId="50" fillId="6" borderId="69" xfId="0" applyFont="1" applyFill="1" applyBorder="1" applyAlignment="1">
      <alignment horizontal="center" vertical="center" shrinkToFit="1"/>
    </xf>
    <xf numFmtId="0" fontId="33" fillId="6" borderId="65" xfId="0" applyFont="1" applyFill="1" applyBorder="1" applyAlignment="1" applyProtection="1">
      <alignment horizontal="left" vertical="center" wrapText="1" shrinkToFit="1"/>
      <protection hidden="1"/>
    </xf>
    <xf numFmtId="0" fontId="33" fillId="6" borderId="65" xfId="0" applyFont="1" applyFill="1" applyBorder="1" applyAlignment="1" applyProtection="1">
      <alignment horizontal="left" vertical="center" wrapText="1"/>
      <protection hidden="1"/>
    </xf>
    <xf numFmtId="0" fontId="33" fillId="6" borderId="95" xfId="0" applyFont="1" applyFill="1" applyBorder="1" applyAlignment="1" applyProtection="1">
      <alignment horizontal="center" vertical="center" wrapText="1"/>
      <protection hidden="1"/>
    </xf>
    <xf numFmtId="0" fontId="33" fillId="6" borderId="96" xfId="0" applyFont="1" applyFill="1" applyBorder="1" applyAlignment="1" applyProtection="1">
      <alignment horizontal="center" vertical="center" wrapText="1"/>
      <protection hidden="1"/>
    </xf>
    <xf numFmtId="0" fontId="33" fillId="6" borderId="92" xfId="0" applyFont="1" applyFill="1" applyBorder="1" applyAlignment="1" applyProtection="1">
      <alignment horizontal="center" vertical="center"/>
      <protection hidden="1"/>
    </xf>
    <xf numFmtId="0" fontId="33" fillId="6" borderId="97" xfId="0" applyFont="1" applyFill="1" applyBorder="1" applyAlignment="1" applyProtection="1">
      <alignment horizontal="center" vertical="center"/>
      <protection hidden="1"/>
    </xf>
    <xf numFmtId="0" fontId="34" fillId="6" borderId="98" xfId="0" applyFont="1" applyFill="1" applyBorder="1" applyAlignment="1" applyProtection="1">
      <alignment horizontal="center" vertical="center" shrinkToFit="1"/>
      <protection hidden="1"/>
    </xf>
    <xf numFmtId="0" fontId="34" fillId="6" borderId="100" xfId="0" applyFont="1" applyFill="1" applyBorder="1" applyAlignment="1" applyProtection="1">
      <alignment horizontal="center" vertical="center" shrinkToFit="1"/>
      <protection hidden="1"/>
    </xf>
    <xf numFmtId="0" fontId="34" fillId="6" borderId="99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44" fillId="14" borderId="65" xfId="0" applyFont="1" applyFill="1" applyBorder="1" applyAlignment="1" applyProtection="1">
      <alignment horizontal="center" vertical="center"/>
      <protection hidden="1"/>
    </xf>
    <xf numFmtId="0" fontId="76" fillId="11" borderId="0" xfId="0" applyFont="1" applyFill="1" applyAlignment="1" applyProtection="1">
      <alignment horizontal="center" vertical="center" wrapText="1"/>
      <protection hidden="1"/>
    </xf>
    <xf numFmtId="0" fontId="75" fillId="7" borderId="1" xfId="0" applyFont="1" applyFill="1" applyBorder="1" applyAlignment="1" applyProtection="1">
      <alignment horizontal="left" vertical="center" wrapText="1"/>
      <protection hidden="1"/>
    </xf>
    <xf numFmtId="0" fontId="75" fillId="7" borderId="28" xfId="0" applyFont="1" applyFill="1" applyBorder="1" applyAlignment="1" applyProtection="1">
      <alignment horizontal="left" vertical="center" wrapText="1"/>
      <protection hidden="1"/>
    </xf>
    <xf numFmtId="0" fontId="75" fillId="7" borderId="5" xfId="0" applyFont="1" applyFill="1" applyBorder="1" applyAlignment="1" applyProtection="1">
      <alignment horizontal="left" vertical="center" wrapText="1"/>
      <protection hidden="1"/>
    </xf>
    <xf numFmtId="0" fontId="13" fillId="6" borderId="65" xfId="0" applyFont="1" applyFill="1" applyBorder="1" applyAlignment="1">
      <alignment horizontal="center" vertical="center" shrinkToFit="1"/>
    </xf>
    <xf numFmtId="0" fontId="7" fillId="13" borderId="0" xfId="0" applyFont="1" applyFill="1" applyAlignment="1" applyProtection="1">
      <alignment horizontal="center" shrinkToFit="1"/>
      <protection locked="0"/>
    </xf>
    <xf numFmtId="0" fontId="0" fillId="13" borderId="0" xfId="0" applyFill="1" applyAlignment="1"/>
    <xf numFmtId="0" fontId="0" fillId="6" borderId="65" xfId="0" applyFill="1" applyBorder="1" applyAlignment="1"/>
    <xf numFmtId="0" fontId="0" fillId="4" borderId="65" xfId="0" applyFill="1" applyBorder="1" applyAlignment="1" applyProtection="1">
      <protection locked="0"/>
    </xf>
    <xf numFmtId="0" fontId="7" fillId="8" borderId="65" xfId="0" applyFont="1" applyFill="1" applyBorder="1" applyAlignment="1" applyProtection="1">
      <alignment horizontal="center" shrinkToFit="1"/>
      <protection locked="0"/>
    </xf>
    <xf numFmtId="0" fontId="0" fillId="8" borderId="65" xfId="0" applyFill="1" applyBorder="1" applyAlignment="1" applyProtection="1">
      <protection locked="0"/>
    </xf>
    <xf numFmtId="0" fontId="28" fillId="12" borderId="65" xfId="0" applyFont="1" applyFill="1" applyBorder="1" applyAlignment="1">
      <alignment horizontal="center" vertical="center" shrinkToFit="1"/>
    </xf>
    <xf numFmtId="0" fontId="44" fillId="12" borderId="65" xfId="0" applyFont="1" applyFill="1" applyBorder="1" applyAlignment="1"/>
    <xf numFmtId="0" fontId="28" fillId="12" borderId="65" xfId="0" applyFont="1" applyFill="1" applyBorder="1" applyAlignment="1">
      <alignment horizontal="center" vertical="center"/>
    </xf>
    <xf numFmtId="0" fontId="95" fillId="14" borderId="78" xfId="0" applyFont="1" applyFill="1" applyBorder="1" applyAlignment="1" applyProtection="1">
      <alignment horizontal="center" vertical="center"/>
      <protection hidden="1"/>
    </xf>
    <xf numFmtId="0" fontId="95" fillId="14" borderId="80" xfId="0" applyFont="1" applyFill="1" applyBorder="1" applyAlignment="1" applyProtection="1">
      <alignment horizontal="center" vertical="center"/>
      <protection hidden="1"/>
    </xf>
    <xf numFmtId="0" fontId="13" fillId="6" borderId="83" xfId="0" applyFont="1" applyFill="1" applyBorder="1" applyAlignment="1">
      <alignment horizontal="center" vertical="center" shrinkToFit="1"/>
    </xf>
    <xf numFmtId="0" fontId="13" fillId="6" borderId="69" xfId="0" applyFont="1" applyFill="1" applyBorder="1" applyAlignment="1">
      <alignment horizontal="center" vertical="center" shrinkToFit="1"/>
    </xf>
    <xf numFmtId="1" fontId="96" fillId="14" borderId="92" xfId="0" applyNumberFormat="1" applyFont="1" applyFill="1" applyBorder="1" applyAlignment="1" applyProtection="1">
      <alignment horizontal="center" vertical="center"/>
      <protection hidden="1"/>
    </xf>
    <xf numFmtId="1" fontId="96" fillId="14" borderId="93" xfId="0" applyNumberFormat="1" applyFont="1" applyFill="1" applyBorder="1" applyAlignment="1" applyProtection="1">
      <alignment horizontal="center" vertical="center"/>
      <protection hidden="1"/>
    </xf>
    <xf numFmtId="1" fontId="96" fillId="14" borderId="94" xfId="0" applyNumberFormat="1" applyFont="1" applyFill="1" applyBorder="1" applyAlignment="1" applyProtection="1">
      <alignment horizontal="center" vertical="center"/>
      <protection hidden="1"/>
    </xf>
    <xf numFmtId="1" fontId="96" fillId="14" borderId="91" xfId="0" applyNumberFormat="1" applyFont="1" applyFill="1" applyBorder="1" applyAlignment="1" applyProtection="1">
      <alignment horizontal="center" vertical="center"/>
      <protection hidden="1"/>
    </xf>
    <xf numFmtId="0" fontId="98" fillId="14" borderId="92" xfId="0" applyFont="1" applyFill="1" applyBorder="1" applyAlignment="1" applyProtection="1">
      <alignment horizontal="center" vertical="center"/>
      <protection hidden="1"/>
    </xf>
    <xf numFmtId="0" fontId="98" fillId="14" borderId="93" xfId="0" applyFont="1" applyFill="1" applyBorder="1" applyAlignment="1" applyProtection="1">
      <alignment horizontal="center" vertical="center"/>
      <protection hidden="1"/>
    </xf>
    <xf numFmtId="0" fontId="98" fillId="14" borderId="94" xfId="0" applyFont="1" applyFill="1" applyBorder="1" applyAlignment="1" applyProtection="1">
      <alignment horizontal="center" vertical="center"/>
      <protection hidden="1"/>
    </xf>
    <xf numFmtId="0" fontId="98" fillId="14" borderId="91" xfId="0" applyFont="1" applyFill="1" applyBorder="1" applyAlignment="1" applyProtection="1">
      <alignment horizontal="center" vertical="center"/>
      <protection hidden="1"/>
    </xf>
    <xf numFmtId="0" fontId="13" fillId="6" borderId="65" xfId="0" applyFont="1" applyFill="1" applyBorder="1" applyAlignment="1">
      <alignment horizontal="center" vertical="center" wrapText="1"/>
    </xf>
    <xf numFmtId="0" fontId="90" fillId="0" borderId="0" xfId="0" applyFont="1" applyAlignment="1" applyProtection="1">
      <alignment horizontal="center" wrapText="1"/>
      <protection hidden="1"/>
    </xf>
    <xf numFmtId="0" fontId="54" fillId="6" borderId="65" xfId="0" applyFont="1" applyFill="1" applyBorder="1" applyAlignment="1" applyProtection="1">
      <alignment horizontal="center" vertical="center" wrapText="1"/>
      <protection hidden="1"/>
    </xf>
    <xf numFmtId="0" fontId="33" fillId="6" borderId="65" xfId="0" applyFont="1" applyFill="1" applyBorder="1" applyAlignment="1" applyProtection="1">
      <alignment horizontal="center" vertical="center" wrapText="1"/>
      <protection hidden="1"/>
    </xf>
    <xf numFmtId="0" fontId="0" fillId="4" borderId="83" xfId="0" applyFill="1" applyBorder="1" applyAlignment="1" applyProtection="1">
      <alignment horizontal="center" vertical="center"/>
      <protection locked="0" hidden="1"/>
    </xf>
    <xf numFmtId="0" fontId="0" fillId="4" borderId="84" xfId="0" applyFill="1" applyBorder="1" applyAlignment="1" applyProtection="1">
      <alignment horizontal="center" vertical="center"/>
      <protection locked="0" hidden="1"/>
    </xf>
    <xf numFmtId="0" fontId="0" fillId="4" borderId="87" xfId="0" applyFill="1" applyBorder="1" applyAlignment="1" applyProtection="1">
      <alignment horizontal="center" vertical="center"/>
      <protection locked="0" hidden="1"/>
    </xf>
    <xf numFmtId="0" fontId="33" fillId="6" borderId="71" xfId="0" applyFont="1" applyFill="1" applyBorder="1" applyAlignment="1" applyProtection="1">
      <alignment horizontal="left" vertical="center"/>
      <protection hidden="1"/>
    </xf>
    <xf numFmtId="0" fontId="33" fillId="6" borderId="85" xfId="0" applyFont="1" applyFill="1" applyBorder="1" applyAlignment="1" applyProtection="1">
      <alignment horizontal="left" vertical="center"/>
      <protection hidden="1"/>
    </xf>
    <xf numFmtId="0" fontId="54" fillId="6" borderId="73" xfId="0" applyFont="1" applyFill="1" applyBorder="1" applyAlignment="1" applyProtection="1">
      <alignment horizontal="left" vertical="center"/>
      <protection hidden="1"/>
    </xf>
    <xf numFmtId="0" fontId="54" fillId="6" borderId="65" xfId="0" applyFont="1" applyFill="1" applyBorder="1" applyAlignment="1" applyProtection="1">
      <alignment horizontal="left" vertical="center"/>
      <protection hidden="1"/>
    </xf>
    <xf numFmtId="0" fontId="117" fillId="6" borderId="73" xfId="0" applyFont="1" applyFill="1" applyBorder="1" applyAlignment="1" applyProtection="1">
      <alignment horizontal="left" vertical="center"/>
      <protection hidden="1"/>
    </xf>
    <xf numFmtId="0" fontId="117" fillId="6" borderId="65" xfId="0" applyFont="1" applyFill="1" applyBorder="1" applyAlignment="1" applyProtection="1">
      <alignment horizontal="left" vertical="center"/>
      <protection hidden="1"/>
    </xf>
    <xf numFmtId="0" fontId="31" fillId="4" borderId="85" xfId="0" applyFont="1" applyFill="1" applyBorder="1" applyAlignment="1" applyProtection="1">
      <alignment horizontal="center" vertical="center"/>
      <protection locked="0" hidden="1"/>
    </xf>
    <xf numFmtId="0" fontId="31" fillId="4" borderId="72" xfId="0" applyFont="1" applyFill="1" applyBorder="1" applyAlignment="1" applyProtection="1">
      <alignment horizontal="center" vertical="center"/>
      <protection locked="0" hidden="1"/>
    </xf>
    <xf numFmtId="0" fontId="31" fillId="4" borderId="65" xfId="0" applyFont="1" applyFill="1" applyBorder="1" applyAlignment="1" applyProtection="1">
      <alignment horizontal="center" vertical="center"/>
      <protection locked="0" hidden="1"/>
    </xf>
    <xf numFmtId="0" fontId="31" fillId="4" borderId="74" xfId="0" applyFont="1" applyFill="1" applyBorder="1" applyAlignment="1" applyProtection="1">
      <alignment horizontal="center" vertical="center"/>
      <protection locked="0" hidden="1"/>
    </xf>
    <xf numFmtId="0" fontId="56" fillId="8" borderId="0" xfId="0" applyFont="1" applyFill="1" applyAlignment="1" applyProtection="1">
      <alignment horizontal="distributed" vertical="distributed" wrapText="1"/>
      <protection hidden="1"/>
    </xf>
    <xf numFmtId="0" fontId="65" fillId="6" borderId="86" xfId="0" applyFont="1" applyFill="1" applyBorder="1" applyAlignment="1" applyProtection="1">
      <alignment horizontal="right" vertical="center"/>
      <protection hidden="1"/>
    </xf>
    <xf numFmtId="0" fontId="65" fillId="6" borderId="84" xfId="0" applyFont="1" applyFill="1" applyBorder="1" applyAlignment="1" applyProtection="1">
      <alignment horizontal="right" vertical="center"/>
      <protection hidden="1"/>
    </xf>
    <xf numFmtId="0" fontId="65" fillId="6" borderId="69" xfId="0" applyFont="1" applyFill="1" applyBorder="1" applyAlignment="1" applyProtection="1">
      <alignment horizontal="right" vertical="center"/>
      <protection hidden="1"/>
    </xf>
    <xf numFmtId="0" fontId="31" fillId="4" borderId="65" xfId="0" applyFont="1" applyFill="1" applyBorder="1" applyAlignment="1" applyProtection="1">
      <alignment horizontal="center" vertical="center"/>
      <protection hidden="1"/>
    </xf>
    <xf numFmtId="0" fontId="31" fillId="4" borderId="74" xfId="0" applyFont="1" applyFill="1" applyBorder="1" applyAlignment="1" applyProtection="1">
      <alignment horizontal="center" vertical="center"/>
      <protection hidden="1"/>
    </xf>
    <xf numFmtId="14" fontId="31" fillId="4" borderId="65" xfId="0" applyNumberFormat="1" applyFont="1" applyFill="1" applyBorder="1" applyAlignment="1" applyProtection="1">
      <alignment horizontal="center" vertical="center"/>
      <protection locked="0" hidden="1"/>
    </xf>
    <xf numFmtId="14" fontId="31" fillId="4" borderId="74" xfId="0" applyNumberFormat="1" applyFont="1" applyFill="1" applyBorder="1" applyAlignment="1" applyProtection="1">
      <alignment horizontal="center" vertical="center"/>
      <protection locked="0" hidden="1"/>
    </xf>
    <xf numFmtId="0" fontId="33" fillId="6" borderId="73" xfId="0" applyFont="1" applyFill="1" applyBorder="1" applyAlignment="1" applyProtection="1">
      <alignment horizontal="left" vertical="center"/>
      <protection hidden="1"/>
    </xf>
    <xf numFmtId="0" fontId="33" fillId="6" borderId="65" xfId="0" applyFont="1" applyFill="1" applyBorder="1" applyAlignment="1" applyProtection="1">
      <alignment horizontal="left" vertical="center"/>
      <protection hidden="1"/>
    </xf>
    <xf numFmtId="0" fontId="0" fillId="4" borderId="65" xfId="0" applyFill="1" applyBorder="1" applyAlignment="1" applyProtection="1">
      <alignment horizontal="center" vertical="center"/>
      <protection locked="0" hidden="1"/>
    </xf>
    <xf numFmtId="0" fontId="0" fillId="4" borderId="74" xfId="0" applyFill="1" applyBorder="1" applyAlignment="1" applyProtection="1">
      <alignment horizontal="center" vertical="center"/>
      <protection locked="0" hidden="1"/>
    </xf>
    <xf numFmtId="0" fontId="93" fillId="4" borderId="0" xfId="0" applyFont="1" applyFill="1" applyAlignment="1" applyProtection="1">
      <alignment horizontal="center" vertical="center"/>
      <protection hidden="1"/>
    </xf>
    <xf numFmtId="0" fontId="48" fillId="4" borderId="0" xfId="0" applyFont="1" applyFill="1" applyAlignment="1" applyProtection="1">
      <alignment horizontal="center" vertical="center"/>
      <protection hidden="1"/>
    </xf>
    <xf numFmtId="0" fontId="57" fillId="23" borderId="0" xfId="0" applyFont="1" applyFill="1" applyAlignment="1" applyProtection="1">
      <alignment horizontal="center" vertical="top" wrapText="1"/>
      <protection hidden="1"/>
    </xf>
    <xf numFmtId="0" fontId="126" fillId="23" borderId="0" xfId="0" applyFont="1" applyFill="1" applyAlignment="1" applyProtection="1">
      <alignment horizontal="center" vertical="center" wrapText="1"/>
      <protection hidden="1"/>
    </xf>
    <xf numFmtId="0" fontId="16" fillId="14" borderId="0" xfId="0" applyFont="1" applyFill="1" applyAlignment="1" applyProtection="1">
      <alignment horizontal="center" vertical="center" wrapText="1"/>
      <protection hidden="1"/>
    </xf>
    <xf numFmtId="0" fontId="124" fillId="23" borderId="0" xfId="0" applyFont="1" applyFill="1" applyAlignment="1" applyProtection="1">
      <alignment horizontal="center" vertical="center" wrapText="1"/>
      <protection hidden="1"/>
    </xf>
    <xf numFmtId="0" fontId="31" fillId="4" borderId="83" xfId="0" applyFont="1" applyFill="1" applyBorder="1" applyAlignment="1" applyProtection="1">
      <alignment horizontal="center" vertical="center"/>
      <protection locked="0" hidden="1"/>
    </xf>
    <xf numFmtId="0" fontId="31" fillId="4" borderId="84" xfId="0" applyFont="1" applyFill="1" applyBorder="1" applyAlignment="1" applyProtection="1">
      <alignment horizontal="center" vertical="center"/>
      <protection locked="0" hidden="1"/>
    </xf>
    <xf numFmtId="0" fontId="31" fillId="4" borderId="87" xfId="0" applyFont="1" applyFill="1" applyBorder="1" applyAlignment="1" applyProtection="1">
      <alignment horizontal="center" vertical="center"/>
      <protection locked="0" hidden="1"/>
    </xf>
    <xf numFmtId="0" fontId="33" fillId="6" borderId="73" xfId="0" applyFont="1" applyFill="1" applyBorder="1" applyAlignment="1" applyProtection="1">
      <alignment horizontal="left" vertical="center" wrapText="1"/>
      <protection hidden="1"/>
    </xf>
    <xf numFmtId="0" fontId="31" fillId="4" borderId="88" xfId="0" applyFont="1" applyFill="1" applyBorder="1" applyAlignment="1" applyProtection="1">
      <alignment horizontal="center" vertical="center"/>
      <protection locked="0" hidden="1"/>
    </xf>
    <xf numFmtId="0" fontId="31" fillId="4" borderId="76" xfId="0" applyFont="1" applyFill="1" applyBorder="1" applyAlignment="1" applyProtection="1">
      <alignment horizontal="center" vertical="center"/>
      <protection locked="0" hidden="1"/>
    </xf>
    <xf numFmtId="0" fontId="66" fillId="0" borderId="1" xfId="0" applyFont="1" applyBorder="1" applyAlignment="1">
      <alignment horizontal="left" vertical="center"/>
    </xf>
    <xf numFmtId="0" fontId="9" fillId="4" borderId="62" xfId="0" applyFont="1" applyFill="1" applyBorder="1" applyAlignment="1">
      <alignment horizontal="right" vertical="center" indent="2"/>
    </xf>
    <xf numFmtId="0" fontId="9" fillId="4" borderId="18" xfId="0" applyFont="1" applyFill="1" applyBorder="1" applyAlignment="1">
      <alignment horizontal="right" vertical="center" indent="2"/>
    </xf>
    <xf numFmtId="0" fontId="43" fillId="4" borderId="1" xfId="0" applyFont="1" applyFill="1" applyBorder="1" applyAlignment="1">
      <alignment horizontal="center"/>
    </xf>
    <xf numFmtId="0" fontId="12" fillId="0" borderId="3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5" fillId="4" borderId="0" xfId="0" applyFont="1" applyFill="1" applyAlignment="1">
      <alignment horizontal="center"/>
    </xf>
    <xf numFmtId="0" fontId="12" fillId="4" borderId="48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7" fillId="4" borderId="33" xfId="0" applyFont="1" applyFill="1" applyBorder="1" applyAlignment="1" applyProtection="1">
      <alignment horizontal="right" vertical="center" indent="1"/>
      <protection locked="0"/>
    </xf>
    <xf numFmtId="0" fontId="7" fillId="4" borderId="60" xfId="0" applyFont="1" applyFill="1" applyBorder="1" applyAlignment="1" applyProtection="1">
      <alignment horizontal="right" vertical="center" indent="1"/>
      <protection locked="0"/>
    </xf>
    <xf numFmtId="0" fontId="7" fillId="4" borderId="34" xfId="0" applyFont="1" applyFill="1" applyBorder="1" applyAlignment="1" applyProtection="1">
      <alignment horizontal="right" vertical="center" indent="1"/>
      <protection locked="0"/>
    </xf>
    <xf numFmtId="0" fontId="12" fillId="4" borderId="15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3" fillId="4" borderId="11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30" xfId="0" applyFont="1" applyFill="1" applyBorder="1" applyAlignment="1">
      <alignment horizontal="left" vertical="center"/>
    </xf>
    <xf numFmtId="0" fontId="13" fillId="4" borderId="28" xfId="0" applyFont="1" applyFill="1" applyBorder="1" applyAlignment="1" applyProtection="1">
      <alignment horizontal="left" vertical="center" shrinkToFit="1"/>
      <protection locked="0"/>
    </xf>
    <xf numFmtId="0" fontId="13" fillId="4" borderId="5" xfId="0" applyFont="1" applyFill="1" applyBorder="1" applyAlignment="1" applyProtection="1">
      <alignment horizontal="left" vertical="center" shrinkToFit="1"/>
      <protection locked="0"/>
    </xf>
    <xf numFmtId="0" fontId="13" fillId="4" borderId="10" xfId="0" applyFont="1" applyFill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9" fillId="4" borderId="33" xfId="0" applyFont="1" applyFill="1" applyBorder="1" applyAlignment="1">
      <alignment horizontal="right" vertical="center" indent="1"/>
    </xf>
    <xf numFmtId="0" fontId="9" fillId="4" borderId="34" xfId="0" applyFont="1" applyFill="1" applyBorder="1" applyAlignment="1">
      <alignment horizontal="right" vertical="center" indent="1"/>
    </xf>
    <xf numFmtId="0" fontId="50" fillId="4" borderId="3" xfId="0" applyFont="1" applyFill="1" applyBorder="1" applyAlignment="1" applyProtection="1">
      <alignment horizontal="left" vertical="center"/>
      <protection locked="0"/>
    </xf>
    <xf numFmtId="0" fontId="50" fillId="4" borderId="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70" fillId="0" borderId="1" xfId="0" applyFont="1" applyBorder="1" applyAlignment="1">
      <alignment horizontal="left" vertical="center"/>
    </xf>
    <xf numFmtId="0" fontId="45" fillId="4" borderId="0" xfId="0" applyFont="1" applyFill="1" applyAlignment="1">
      <alignment horizontal="left" vertical="top"/>
    </xf>
    <xf numFmtId="0" fontId="20" fillId="4" borderId="0" xfId="0" applyFont="1" applyFill="1" applyAlignment="1">
      <alignment horizontal="left" vertical="top"/>
    </xf>
    <xf numFmtId="0" fontId="20" fillId="4" borderId="0" xfId="0" applyFont="1" applyFill="1" applyAlignment="1">
      <alignment horizontal="right" vertical="top"/>
    </xf>
    <xf numFmtId="0" fontId="13" fillId="0" borderId="31" xfId="0" applyFont="1" applyBorder="1" applyAlignment="1">
      <alignment horizontal="center" vertical="top"/>
    </xf>
    <xf numFmtId="0" fontId="13" fillId="0" borderId="63" xfId="0" applyFont="1" applyBorder="1" applyAlignment="1">
      <alignment horizontal="center" vertical="top"/>
    </xf>
    <xf numFmtId="0" fontId="45" fillId="0" borderId="14" xfId="0" applyFont="1" applyBorder="1" applyAlignment="1">
      <alignment horizontal="justify" vertical="center"/>
    </xf>
    <xf numFmtId="0" fontId="45" fillId="0" borderId="15" xfId="0" applyFont="1" applyBorder="1" applyAlignment="1">
      <alignment horizontal="justify" vertical="center"/>
    </xf>
    <xf numFmtId="0" fontId="45" fillId="0" borderId="16" xfId="0" applyFont="1" applyBorder="1" applyAlignment="1">
      <alignment horizontal="justify" vertical="center"/>
    </xf>
    <xf numFmtId="0" fontId="45" fillId="0" borderId="17" xfId="0" applyFont="1" applyBorder="1" applyAlignment="1">
      <alignment horizontal="left" vertical="justify" wrapText="1"/>
    </xf>
    <xf numFmtId="0" fontId="45" fillId="0" borderId="0" xfId="0" applyFont="1" applyAlignment="1">
      <alignment horizontal="left" vertical="justify" wrapText="1"/>
    </xf>
    <xf numFmtId="0" fontId="45" fillId="0" borderId="18" xfId="0" applyFont="1" applyBorder="1" applyAlignment="1">
      <alignment horizontal="left" vertical="justify" wrapText="1"/>
    </xf>
    <xf numFmtId="0" fontId="13" fillId="4" borderId="3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0" borderId="64" xfId="0" applyFont="1" applyBorder="1" applyAlignment="1">
      <alignment horizontal="left" vertical="top" wrapText="1" indent="4"/>
    </xf>
    <xf numFmtId="0" fontId="12" fillId="0" borderId="20" xfId="0" applyFont="1" applyBorder="1" applyAlignment="1">
      <alignment horizontal="left" vertical="top" wrapText="1" indent="4"/>
    </xf>
    <xf numFmtId="0" fontId="12" fillId="0" borderId="58" xfId="0" applyFont="1" applyBorder="1" applyAlignment="1">
      <alignment horizontal="left" vertical="top" wrapText="1" indent="4"/>
    </xf>
    <xf numFmtId="0" fontId="12" fillId="4" borderId="3" xfId="0" applyFont="1" applyFill="1" applyBorder="1" applyAlignment="1">
      <alignment horizontal="left" vertical="center" indent="1"/>
    </xf>
    <xf numFmtId="0" fontId="12" fillId="4" borderId="7" xfId="0" applyFont="1" applyFill="1" applyBorder="1" applyAlignment="1">
      <alignment horizontal="left" vertical="center" indent="1"/>
    </xf>
    <xf numFmtId="1" fontId="9" fillId="4" borderId="62" xfId="0" applyNumberFormat="1" applyFont="1" applyFill="1" applyBorder="1" applyAlignment="1">
      <alignment horizontal="center" vertical="center"/>
    </xf>
    <xf numFmtId="1" fontId="9" fillId="4" borderId="21" xfId="0" applyNumberFormat="1" applyFont="1" applyFill="1" applyBorder="1" applyAlignment="1">
      <alignment horizontal="center" vertical="center"/>
    </xf>
    <xf numFmtId="0" fontId="45" fillId="0" borderId="17" xfId="0" applyFont="1" applyBorder="1" applyAlignment="1">
      <alignment horizontal="justify" vertical="top" wrapText="1"/>
    </xf>
    <xf numFmtId="0" fontId="45" fillId="0" borderId="0" xfId="0" applyFont="1" applyAlignment="1">
      <alignment horizontal="justify" vertical="top" wrapText="1"/>
    </xf>
    <xf numFmtId="0" fontId="45" fillId="0" borderId="18" xfId="0" applyFont="1" applyBorder="1" applyAlignment="1">
      <alignment horizontal="justify" vertical="top" wrapText="1"/>
    </xf>
    <xf numFmtId="0" fontId="84" fillId="0" borderId="0" xfId="0" applyFont="1" applyAlignment="1">
      <alignment horizontal="left" vertical="top"/>
    </xf>
    <xf numFmtId="0" fontId="86" fillId="0" borderId="0" xfId="0" applyFont="1" applyAlignment="1">
      <alignment horizontal="left" vertical="top" wrapText="1"/>
    </xf>
    <xf numFmtId="0" fontId="84" fillId="0" borderId="0" xfId="0" applyFont="1" applyAlignment="1">
      <alignment horizontal="left" vertical="justify" wrapText="1"/>
    </xf>
    <xf numFmtId="0" fontId="84" fillId="0" borderId="0" xfId="0" applyFont="1" applyAlignment="1">
      <alignment horizontal="justify" vertical="top" wrapText="1"/>
    </xf>
    <xf numFmtId="0" fontId="12" fillId="4" borderId="8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12" fillId="4" borderId="4" xfId="0" applyFont="1" applyFill="1" applyBorder="1" applyAlignment="1">
      <alignment horizontal="left" vertical="center" indent="1"/>
    </xf>
    <xf numFmtId="0" fontId="12" fillId="4" borderId="12" xfId="0" applyFont="1" applyFill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/>
    </xf>
    <xf numFmtId="0" fontId="13" fillId="0" borderId="61" xfId="0" applyFont="1" applyBorder="1" applyAlignment="1">
      <alignment horizontal="center" vertical="top"/>
    </xf>
    <xf numFmtId="0" fontId="13" fillId="0" borderId="52" xfId="0" applyFont="1" applyBorder="1" applyAlignment="1">
      <alignment horizontal="center" vertical="top"/>
    </xf>
    <xf numFmtId="0" fontId="0" fillId="0" borderId="3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66" fillId="4" borderId="28" xfId="0" applyFont="1" applyFill="1" applyBorder="1" applyAlignment="1">
      <alignment horizontal="left" vertical="center" wrapText="1"/>
    </xf>
    <xf numFmtId="0" fontId="66" fillId="4" borderId="1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justify" vertical="justify" wrapText="1"/>
    </xf>
    <xf numFmtId="0" fontId="13" fillId="0" borderId="7" xfId="0" applyFont="1" applyBorder="1" applyAlignment="1">
      <alignment horizontal="justify" vertical="justify" wrapText="1"/>
    </xf>
    <xf numFmtId="0" fontId="13" fillId="0" borderId="8" xfId="0" applyFont="1" applyBorder="1" applyAlignment="1">
      <alignment horizontal="justify" vertical="justify" wrapText="1"/>
    </xf>
    <xf numFmtId="166" fontId="7" fillId="4" borderId="3" xfId="0" applyNumberFormat="1" applyFont="1" applyFill="1" applyBorder="1" applyAlignment="1">
      <alignment horizontal="center" shrinkToFit="1"/>
    </xf>
    <xf numFmtId="166" fontId="7" fillId="4" borderId="7" xfId="0" applyNumberFormat="1" applyFont="1" applyFill="1" applyBorder="1" applyAlignment="1">
      <alignment horizontal="center" shrinkToFit="1"/>
    </xf>
    <xf numFmtId="166" fontId="7" fillId="4" borderId="8" xfId="0" applyNumberFormat="1" applyFont="1" applyFill="1" applyBorder="1" applyAlignment="1">
      <alignment horizontal="center" shrinkToFit="1"/>
    </xf>
    <xf numFmtId="166" fontId="7" fillId="4" borderId="37" xfId="0" applyNumberFormat="1" applyFont="1" applyFill="1" applyBorder="1" applyAlignment="1">
      <alignment horizontal="center" shrinkToFit="1"/>
    </xf>
    <xf numFmtId="166" fontId="7" fillId="4" borderId="38" xfId="0" applyNumberFormat="1" applyFont="1" applyFill="1" applyBorder="1" applyAlignment="1">
      <alignment horizontal="center" shrinkToFit="1"/>
    </xf>
    <xf numFmtId="166" fontId="7" fillId="4" borderId="39" xfId="0" applyNumberFormat="1" applyFont="1" applyFill="1" applyBorder="1" applyAlignment="1">
      <alignment horizontal="center" shrinkToFit="1"/>
    </xf>
    <xf numFmtId="0" fontId="50" fillId="4" borderId="3" xfId="0" applyFont="1" applyFill="1" applyBorder="1" applyAlignment="1">
      <alignment horizontal="center" vertical="center" shrinkToFit="1"/>
    </xf>
    <xf numFmtId="0" fontId="50" fillId="4" borderId="7" xfId="0" applyFont="1" applyFill="1" applyBorder="1" applyAlignment="1">
      <alignment horizontal="center" vertical="center" shrinkToFit="1"/>
    </xf>
    <xf numFmtId="0" fontId="50" fillId="4" borderId="8" xfId="0" applyFont="1" applyFill="1" applyBorder="1" applyAlignment="1">
      <alignment horizontal="center" vertical="center" shrinkToFit="1"/>
    </xf>
    <xf numFmtId="166" fontId="7" fillId="4" borderId="35" xfId="0" applyNumberFormat="1" applyFont="1" applyFill="1" applyBorder="1" applyAlignment="1">
      <alignment horizontal="center" shrinkToFi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0" fillId="4" borderId="0" xfId="0" applyFont="1" applyFill="1" applyAlignment="1">
      <alignment horizontal="left"/>
    </xf>
    <xf numFmtId="0" fontId="23" fillId="4" borderId="0" xfId="0" applyFont="1" applyFill="1" applyAlignment="1">
      <alignment horizontal="left"/>
    </xf>
    <xf numFmtId="165" fontId="25" fillId="4" borderId="0" xfId="0" applyNumberFormat="1" applyFont="1" applyFill="1" applyAlignment="1">
      <alignment horizontal="left" indent="1"/>
    </xf>
    <xf numFmtId="165" fontId="25" fillId="4" borderId="18" xfId="0" applyNumberFormat="1" applyFont="1" applyFill="1" applyBorder="1" applyAlignment="1">
      <alignment horizontal="left" indent="1"/>
    </xf>
    <xf numFmtId="0" fontId="23" fillId="4" borderId="0" xfId="0" applyFont="1" applyFill="1" applyAlignment="1">
      <alignment horizontal="righ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right"/>
    </xf>
    <xf numFmtId="0" fontId="10" fillId="4" borderId="20" xfId="0" applyFont="1" applyFill="1" applyBorder="1" applyAlignment="1">
      <alignment horizontal="center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 applyProtection="1">
      <alignment horizontal="center" vertical="center" wrapText="1"/>
      <protection locked="0"/>
    </xf>
    <xf numFmtId="0" fontId="9" fillId="4" borderId="34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shrinkToFit="1"/>
    </xf>
    <xf numFmtId="166" fontId="13" fillId="4" borderId="1" xfId="0" applyNumberFormat="1" applyFont="1" applyFill="1" applyBorder="1" applyAlignment="1">
      <alignment horizontal="center" shrinkToFit="1"/>
    </xf>
    <xf numFmtId="166" fontId="13" fillId="4" borderId="25" xfId="0" applyNumberFormat="1" applyFont="1" applyFill="1" applyBorder="1" applyAlignment="1">
      <alignment horizontal="center" shrinkToFit="1"/>
    </xf>
    <xf numFmtId="0" fontId="51" fillId="5" borderId="1" xfId="0" applyFont="1" applyFill="1" applyBorder="1" applyAlignment="1">
      <alignment horizontal="center" vertical="center" shrinkToFit="1"/>
    </xf>
    <xf numFmtId="0" fontId="51" fillId="5" borderId="23" xfId="0" applyFont="1" applyFill="1" applyBorder="1" applyAlignment="1">
      <alignment horizontal="center" vertical="center" shrinkToFit="1"/>
    </xf>
    <xf numFmtId="166" fontId="13" fillId="4" borderId="1" xfId="0" applyNumberFormat="1" applyFont="1" applyFill="1" applyBorder="1" applyAlignment="1">
      <alignment horizontal="center" vertical="center" shrinkToFit="1"/>
    </xf>
    <xf numFmtId="166" fontId="13" fillId="4" borderId="23" xfId="0" applyNumberFormat="1" applyFont="1" applyFill="1" applyBorder="1" applyAlignment="1">
      <alignment horizontal="center" vertical="center" shrinkToFit="1"/>
    </xf>
    <xf numFmtId="166" fontId="13" fillId="4" borderId="25" xfId="0" applyNumberFormat="1" applyFont="1" applyFill="1" applyBorder="1" applyAlignment="1">
      <alignment horizontal="center" vertical="center" shrinkToFit="1"/>
    </xf>
    <xf numFmtId="166" fontId="13" fillId="4" borderId="26" xfId="0" applyNumberFormat="1" applyFont="1" applyFill="1" applyBorder="1" applyAlignment="1">
      <alignment horizontal="center" vertical="center" shrinkToFit="1"/>
    </xf>
    <xf numFmtId="0" fontId="52" fillId="4" borderId="42" xfId="0" applyFont="1" applyFill="1" applyBorder="1" applyAlignment="1">
      <alignment horizontal="center" vertical="center" shrinkToFit="1"/>
    </xf>
    <xf numFmtId="0" fontId="52" fillId="4" borderId="43" xfId="0" applyFont="1" applyFill="1" applyBorder="1" applyAlignment="1">
      <alignment horizontal="center" vertical="center" shrinkToFit="1"/>
    </xf>
    <xf numFmtId="0" fontId="52" fillId="4" borderId="44" xfId="0" applyFont="1" applyFill="1" applyBorder="1" applyAlignment="1">
      <alignment horizontal="center" vertical="center" shrinkToFit="1"/>
    </xf>
    <xf numFmtId="0" fontId="52" fillId="4" borderId="42" xfId="0" applyFont="1" applyFill="1" applyBorder="1" applyAlignment="1">
      <alignment horizontal="center" vertical="center"/>
    </xf>
    <xf numFmtId="0" fontId="52" fillId="4" borderId="43" xfId="0" applyFont="1" applyFill="1" applyBorder="1" applyAlignment="1">
      <alignment horizontal="center" vertical="center"/>
    </xf>
    <xf numFmtId="0" fontId="52" fillId="4" borderId="4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166" fontId="7" fillId="4" borderId="36" xfId="0" applyNumberFormat="1" applyFont="1" applyFill="1" applyBorder="1" applyAlignment="1">
      <alignment horizontal="center" shrinkToFit="1"/>
    </xf>
    <xf numFmtId="166" fontId="7" fillId="4" borderId="40" xfId="0" applyNumberFormat="1" applyFont="1" applyFill="1" applyBorder="1" applyAlignment="1">
      <alignment horizontal="center" shrinkToFit="1"/>
    </xf>
    <xf numFmtId="166" fontId="7" fillId="4" borderId="41" xfId="0" applyNumberFormat="1" applyFont="1" applyFill="1" applyBorder="1" applyAlignment="1">
      <alignment horizontal="center" shrinkToFit="1"/>
    </xf>
    <xf numFmtId="166" fontId="7" fillId="4" borderId="28" xfId="0" applyNumberFormat="1" applyFont="1" applyFill="1" applyBorder="1" applyAlignment="1">
      <alignment horizontal="center" shrinkToFit="1"/>
    </xf>
    <xf numFmtId="166" fontId="7" fillId="4" borderId="5" xfId="0" applyNumberFormat="1" applyFont="1" applyFill="1" applyBorder="1" applyAlignment="1">
      <alignment horizontal="center" shrinkToFit="1"/>
    </xf>
    <xf numFmtId="166" fontId="7" fillId="4" borderId="46" xfId="0" applyNumberFormat="1" applyFont="1" applyFill="1" applyBorder="1" applyAlignment="1">
      <alignment horizontal="center" shrinkToFit="1"/>
    </xf>
    <xf numFmtId="166" fontId="7" fillId="4" borderId="10" xfId="0" applyNumberFormat="1" applyFont="1" applyFill="1" applyBorder="1" applyAlignment="1">
      <alignment horizontal="center" shrinkToFi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166" fontId="7" fillId="4" borderId="45" xfId="0" applyNumberFormat="1" applyFont="1" applyFill="1" applyBorder="1" applyAlignment="1">
      <alignment horizontal="center" shrinkToFit="1"/>
    </xf>
    <xf numFmtId="0" fontId="13" fillId="4" borderId="28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shrinkToFit="1"/>
    </xf>
    <xf numFmtId="0" fontId="13" fillId="4" borderId="16" xfId="0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center" vertical="center" shrinkToFit="1"/>
    </xf>
    <xf numFmtId="0" fontId="13" fillId="4" borderId="46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right"/>
    </xf>
    <xf numFmtId="0" fontId="11" fillId="4" borderId="89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13" fillId="4" borderId="22" xfId="0" applyFont="1" applyFill="1" applyBorder="1" applyAlignment="1">
      <alignment horizontal="center" vertical="center" shrinkToFit="1"/>
    </xf>
    <xf numFmtId="166" fontId="13" fillId="4" borderId="22" xfId="0" applyNumberFormat="1" applyFont="1" applyFill="1" applyBorder="1" applyAlignment="1">
      <alignment horizontal="center" vertical="center" shrinkToFit="1"/>
    </xf>
    <xf numFmtId="166" fontId="7" fillId="4" borderId="1" xfId="0" applyNumberFormat="1" applyFont="1" applyFill="1" applyBorder="1" applyAlignment="1">
      <alignment horizontal="center" shrinkToFit="1"/>
    </xf>
    <xf numFmtId="166" fontId="7" fillId="4" borderId="25" xfId="0" applyNumberFormat="1" applyFont="1" applyFill="1" applyBorder="1" applyAlignment="1">
      <alignment horizontal="center" shrinkToFit="1"/>
    </xf>
    <xf numFmtId="0" fontId="52" fillId="4" borderId="14" xfId="0" applyFont="1" applyFill="1" applyBorder="1" applyAlignment="1">
      <alignment horizontal="center" vertical="center"/>
    </xf>
    <xf numFmtId="0" fontId="52" fillId="4" borderId="15" xfId="0" applyFont="1" applyFill="1" applyBorder="1" applyAlignment="1">
      <alignment horizontal="center" vertical="center"/>
    </xf>
    <xf numFmtId="0" fontId="52" fillId="4" borderId="16" xfId="0" applyFont="1" applyFill="1" applyBorder="1" applyAlignment="1">
      <alignment horizontal="center" vertical="center"/>
    </xf>
    <xf numFmtId="166" fontId="13" fillId="4" borderId="24" xfId="0" applyNumberFormat="1" applyFont="1" applyFill="1" applyBorder="1" applyAlignment="1">
      <alignment horizontal="center" vertical="center" shrinkToFit="1"/>
    </xf>
    <xf numFmtId="0" fontId="13" fillId="4" borderId="14" xfId="0" applyFont="1" applyFill="1" applyBorder="1" applyAlignment="1">
      <alignment horizontal="center" vertical="center" shrinkToFit="1"/>
    </xf>
    <xf numFmtId="0" fontId="13" fillId="4" borderId="45" xfId="0" applyFont="1" applyFill="1" applyBorder="1" applyAlignment="1">
      <alignment horizontal="center" vertical="center" shrinkToFit="1"/>
    </xf>
    <xf numFmtId="0" fontId="13" fillId="4" borderId="48" xfId="0" applyFont="1" applyFill="1" applyBorder="1" applyAlignment="1">
      <alignment horizontal="center" vertical="center" shrinkToFit="1"/>
    </xf>
    <xf numFmtId="0" fontId="13" fillId="4" borderId="47" xfId="0" applyFont="1" applyFill="1" applyBorder="1" applyAlignment="1">
      <alignment horizontal="center" vertical="center" shrinkToFit="1"/>
    </xf>
    <xf numFmtId="0" fontId="13" fillId="4" borderId="28" xfId="0" applyFont="1" applyFill="1" applyBorder="1" applyAlignment="1">
      <alignment horizontal="center" vertical="center" shrinkToFit="1"/>
    </xf>
    <xf numFmtId="0" fontId="13" fillId="4" borderId="10" xfId="0" applyFont="1" applyFill="1" applyBorder="1" applyAlignment="1">
      <alignment horizontal="center" vertical="center" shrinkToFit="1"/>
    </xf>
    <xf numFmtId="0" fontId="110" fillId="4" borderId="19" xfId="2" applyFont="1" applyFill="1" applyBorder="1" applyAlignment="1">
      <alignment horizontal="left" vertical="center" wrapText="1" indent="3"/>
    </xf>
    <xf numFmtId="0" fontId="110" fillId="4" borderId="20" xfId="2" applyFont="1" applyFill="1" applyBorder="1" applyAlignment="1">
      <alignment horizontal="left" vertical="center" wrapText="1" indent="3"/>
    </xf>
    <xf numFmtId="0" fontId="115" fillId="4" borderId="0" xfId="2" applyFont="1" applyFill="1" applyAlignment="1">
      <alignment horizontal="center" vertical="center" wrapText="1"/>
    </xf>
    <xf numFmtId="0" fontId="115" fillId="4" borderId="18" xfId="2" applyFont="1" applyFill="1" applyBorder="1" applyAlignment="1">
      <alignment horizontal="center" vertical="center" wrapText="1"/>
    </xf>
    <xf numFmtId="0" fontId="110" fillId="4" borderId="20" xfId="2" applyFont="1" applyFill="1" applyBorder="1" applyAlignment="1">
      <alignment horizontal="center" vertical="center" wrapText="1"/>
    </xf>
    <xf numFmtId="0" fontId="110" fillId="4" borderId="21" xfId="2" applyFont="1" applyFill="1" applyBorder="1" applyAlignment="1">
      <alignment horizontal="center" vertical="center" wrapText="1"/>
    </xf>
    <xf numFmtId="0" fontId="110" fillId="0" borderId="22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110" fillId="0" borderId="31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51" fillId="0" borderId="24" xfId="2" applyFont="1" applyBorder="1" applyAlignment="1">
      <alignment horizontal="center" vertical="center" wrapText="1"/>
    </xf>
    <xf numFmtId="0" fontId="51" fillId="0" borderId="26" xfId="2" applyFont="1" applyBorder="1" applyAlignment="1">
      <alignment horizontal="center" vertical="center" wrapText="1"/>
    </xf>
    <xf numFmtId="0" fontId="110" fillId="20" borderId="49" xfId="2" applyFont="1" applyFill="1" applyBorder="1" applyAlignment="1">
      <alignment horizontal="center" vertical="center" wrapText="1"/>
    </xf>
    <xf numFmtId="0" fontId="110" fillId="20" borderId="22" xfId="2" applyFont="1" applyFill="1" applyBorder="1" applyAlignment="1">
      <alignment horizontal="center" vertical="center" wrapText="1"/>
    </xf>
    <xf numFmtId="0" fontId="31" fillId="20" borderId="50" xfId="0" applyFont="1" applyFill="1" applyBorder="1" applyAlignment="1">
      <alignment horizontal="center" vertical="center" wrapText="1"/>
    </xf>
    <xf numFmtId="0" fontId="31" fillId="20" borderId="1" xfId="0" applyFont="1" applyFill="1" applyBorder="1" applyAlignment="1">
      <alignment horizontal="center" vertical="center" wrapText="1"/>
    </xf>
    <xf numFmtId="0" fontId="110" fillId="20" borderId="50" xfId="2" applyFont="1" applyFill="1" applyBorder="1" applyAlignment="1">
      <alignment horizontal="center" vertical="center" wrapText="1"/>
    </xf>
    <xf numFmtId="0" fontId="110" fillId="20" borderId="51" xfId="2" applyFont="1" applyFill="1" applyBorder="1" applyAlignment="1">
      <alignment horizontal="center" vertical="center" wrapText="1"/>
    </xf>
    <xf numFmtId="0" fontId="110" fillId="0" borderId="49" xfId="2" applyFont="1" applyBorder="1" applyAlignment="1">
      <alignment horizontal="center" vertical="center" wrapText="1"/>
    </xf>
    <xf numFmtId="0" fontId="110" fillId="0" borderId="50" xfId="2" applyFont="1" applyBorder="1" applyAlignment="1">
      <alignment horizontal="center" vertical="center" wrapText="1"/>
    </xf>
    <xf numFmtId="0" fontId="110" fillId="0" borderId="51" xfId="2" applyFont="1" applyBorder="1" applyAlignment="1">
      <alignment horizontal="center" vertical="center" wrapText="1"/>
    </xf>
    <xf numFmtId="1" fontId="110" fillId="0" borderId="25" xfId="2" applyNumberFormat="1" applyFont="1" applyBorder="1" applyAlignment="1">
      <alignment horizontal="center" vertical="center" wrapText="1"/>
    </xf>
    <xf numFmtId="0" fontId="110" fillId="0" borderId="1" xfId="2" applyFont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justify" vertical="center" wrapText="1"/>
    </xf>
    <xf numFmtId="0" fontId="31" fillId="4" borderId="15" xfId="0" applyFont="1" applyFill="1" applyBorder="1" applyAlignment="1">
      <alignment horizontal="justify" vertical="center" wrapText="1"/>
    </xf>
    <xf numFmtId="0" fontId="31" fillId="4" borderId="16" xfId="0" applyFont="1" applyFill="1" applyBorder="1" applyAlignment="1">
      <alignment horizontal="justify" vertical="center" wrapText="1"/>
    </xf>
    <xf numFmtId="0" fontId="110" fillId="4" borderId="17" xfId="2" applyFont="1" applyFill="1" applyBorder="1" applyAlignment="1">
      <alignment horizontal="left" vertical="center" wrapText="1" indent="3"/>
    </xf>
    <xf numFmtId="0" fontId="110" fillId="4" borderId="0" xfId="2" applyFont="1" applyFill="1" applyAlignment="1">
      <alignment horizontal="left" vertical="center" wrapText="1" indent="3"/>
    </xf>
    <xf numFmtId="0" fontId="109" fillId="4" borderId="0" xfId="2" applyFont="1" applyFill="1" applyAlignment="1">
      <alignment horizontal="center" vertical="center" wrapText="1"/>
    </xf>
    <xf numFmtId="1" fontId="110" fillId="0" borderId="1" xfId="2" applyNumberFormat="1" applyFont="1" applyBorder="1" applyAlignment="1">
      <alignment horizontal="center" vertical="center" shrinkToFit="1"/>
    </xf>
    <xf numFmtId="1" fontId="110" fillId="0" borderId="23" xfId="2" applyNumberFormat="1" applyFont="1" applyBorder="1" applyAlignment="1">
      <alignment horizontal="center" vertical="center" shrinkToFit="1"/>
    </xf>
    <xf numFmtId="0" fontId="111" fillId="4" borderId="102" xfId="2" applyFont="1" applyFill="1" applyBorder="1" applyAlignment="1">
      <alignment horizontal="center" vertical="center" wrapText="1"/>
    </xf>
    <xf numFmtId="0" fontId="111" fillId="4" borderId="103" xfId="2" applyFont="1" applyFill="1" applyBorder="1" applyAlignment="1">
      <alignment horizontal="center" vertical="center" wrapText="1"/>
    </xf>
    <xf numFmtId="0" fontId="109" fillId="4" borderId="103" xfId="2" applyFont="1" applyFill="1" applyBorder="1" applyAlignment="1" applyProtection="1">
      <alignment horizontal="center" vertical="center" wrapText="1"/>
      <protection locked="0"/>
    </xf>
    <xf numFmtId="0" fontId="110" fillId="0" borderId="24" xfId="2" applyFont="1" applyBorder="1" applyAlignment="1" applyProtection="1">
      <alignment horizontal="center" vertical="center" wrapText="1"/>
      <protection locked="0"/>
    </xf>
    <xf numFmtId="0" fontId="110" fillId="0" borderId="25" xfId="2" applyFont="1" applyBorder="1" applyAlignment="1" applyProtection="1">
      <alignment horizontal="center" vertical="center" wrapText="1"/>
      <protection locked="0"/>
    </xf>
    <xf numFmtId="0" fontId="112" fillId="0" borderId="15" xfId="0" applyFont="1" applyBorder="1" applyAlignment="1">
      <alignment horizontal="center" vertical="center" wrapText="1"/>
    </xf>
    <xf numFmtId="0" fontId="112" fillId="0" borderId="20" xfId="0" applyFont="1" applyBorder="1" applyAlignment="1">
      <alignment horizontal="center" vertical="center" wrapText="1"/>
    </xf>
    <xf numFmtId="0" fontId="109" fillId="0" borderId="105" xfId="2" applyFont="1" applyBorder="1" applyAlignment="1">
      <alignment horizontal="center" vertical="center" wrapText="1"/>
    </xf>
    <xf numFmtId="0" fontId="22" fillId="0" borderId="105" xfId="2" applyFont="1" applyBorder="1" applyAlignment="1">
      <alignment horizontal="center" vertical="center" wrapText="1"/>
    </xf>
    <xf numFmtId="0" fontId="110" fillId="0" borderId="105" xfId="2" applyFont="1" applyBorder="1" applyAlignment="1">
      <alignment horizontal="center" vertical="center" wrapText="1"/>
    </xf>
    <xf numFmtId="0" fontId="111" fillId="0" borderId="37" xfId="2" applyFont="1" applyBorder="1" applyAlignment="1">
      <alignment horizontal="center" vertical="center" wrapText="1"/>
    </xf>
    <xf numFmtId="0" fontId="111" fillId="0" borderId="38" xfId="2" applyFont="1" applyBorder="1" applyAlignment="1">
      <alignment horizontal="center" vertical="center" wrapText="1"/>
    </xf>
    <xf numFmtId="0" fontId="111" fillId="0" borderId="39" xfId="2" applyFont="1" applyBorder="1" applyAlignment="1">
      <alignment horizontal="center" vertical="center" wrapText="1"/>
    </xf>
    <xf numFmtId="0" fontId="22" fillId="4" borderId="19" xfId="2" applyFont="1" applyFill="1" applyBorder="1" applyAlignment="1">
      <alignment horizontal="center" vertical="center" wrapText="1"/>
    </xf>
    <xf numFmtId="0" fontId="22" fillId="4" borderId="58" xfId="2" applyFont="1" applyFill="1" applyBorder="1" applyAlignment="1">
      <alignment horizontal="center" vertical="center" wrapText="1"/>
    </xf>
    <xf numFmtId="0" fontId="110" fillId="0" borderId="3" xfId="2" applyFont="1" applyBorder="1" applyAlignment="1" applyProtection="1">
      <alignment horizontal="center" vertical="center" shrinkToFit="1"/>
      <protection locked="0"/>
    </xf>
    <xf numFmtId="0" fontId="110" fillId="0" borderId="8" xfId="2" applyFont="1" applyBorder="1" applyAlignment="1" applyProtection="1">
      <alignment horizontal="center" vertical="center" shrinkToFit="1"/>
      <protection locked="0"/>
    </xf>
    <xf numFmtId="0" fontId="110" fillId="0" borderId="7" xfId="2" applyFont="1" applyBorder="1" applyAlignment="1" applyProtection="1">
      <alignment horizontal="center" vertical="center" shrinkToFit="1"/>
      <protection locked="0"/>
    </xf>
    <xf numFmtId="0" fontId="110" fillId="4" borderId="59" xfId="2" applyFont="1" applyFill="1" applyBorder="1" applyAlignment="1">
      <alignment horizontal="center" vertical="top" wrapText="1"/>
    </xf>
    <xf numFmtId="0" fontId="110" fillId="4" borderId="9" xfId="2" applyFont="1" applyFill="1" applyBorder="1" applyAlignment="1">
      <alignment horizontal="center" vertical="top" wrapText="1"/>
    </xf>
    <xf numFmtId="1" fontId="110" fillId="0" borderId="40" xfId="2" applyNumberFormat="1" applyFont="1" applyBorder="1" applyAlignment="1">
      <alignment horizontal="center" vertical="center" wrapText="1"/>
    </xf>
    <xf numFmtId="1" fontId="110" fillId="0" borderId="41" xfId="2" applyNumberFormat="1" applyFont="1" applyBorder="1" applyAlignment="1">
      <alignment horizontal="center" vertical="center" wrapText="1"/>
    </xf>
    <xf numFmtId="0" fontId="110" fillId="0" borderId="38" xfId="2" applyFont="1" applyBorder="1" applyAlignment="1" applyProtection="1">
      <alignment horizontal="center" vertical="center" shrinkToFit="1"/>
      <protection locked="0"/>
    </xf>
    <xf numFmtId="0" fontId="110" fillId="0" borderId="39" xfId="2" applyFont="1" applyBorder="1" applyAlignment="1" applyProtection="1">
      <alignment horizontal="center" vertical="center" shrinkToFit="1"/>
      <protection locked="0"/>
    </xf>
    <xf numFmtId="1" fontId="110" fillId="0" borderId="25" xfId="2" applyNumberFormat="1" applyFont="1" applyBorder="1" applyAlignment="1">
      <alignment horizontal="center" vertical="center" shrinkToFit="1"/>
    </xf>
    <xf numFmtId="1" fontId="110" fillId="0" borderId="26" xfId="2" applyNumberFormat="1" applyFont="1" applyBorder="1" applyAlignment="1">
      <alignment horizontal="center" vertical="center" shrinkToFit="1"/>
    </xf>
    <xf numFmtId="0" fontId="110" fillId="0" borderId="40" xfId="2" applyFont="1" applyBorder="1" applyAlignment="1">
      <alignment horizontal="center" vertical="center" wrapText="1"/>
    </xf>
    <xf numFmtId="0" fontId="110" fillId="0" borderId="38" xfId="2" applyFont="1" applyBorder="1" applyAlignment="1">
      <alignment horizontal="center" vertical="center" wrapText="1"/>
    </xf>
    <xf numFmtId="0" fontId="110" fillId="0" borderId="41" xfId="2" applyFont="1" applyBorder="1" applyAlignment="1">
      <alignment horizontal="center" vertical="center" wrapText="1"/>
    </xf>
    <xf numFmtId="0" fontId="0" fillId="0" borderId="44" xfId="0" applyBorder="1" applyAlignment="1"/>
    <xf numFmtId="0" fontId="110" fillId="0" borderId="23" xfId="2" applyFont="1" applyBorder="1" applyAlignment="1">
      <alignment horizontal="center" vertical="center" wrapText="1"/>
    </xf>
    <xf numFmtId="0" fontId="110" fillId="0" borderId="22" xfId="2" applyFont="1" applyBorder="1" applyAlignment="1" applyProtection="1">
      <alignment horizontal="center" vertical="center" wrapText="1"/>
      <protection locked="0"/>
    </xf>
    <xf numFmtId="0" fontId="110" fillId="0" borderId="1" xfId="2" applyFont="1" applyBorder="1" applyAlignment="1" applyProtection="1">
      <alignment horizontal="center" vertical="center" wrapText="1"/>
      <protection locked="0"/>
    </xf>
    <xf numFmtId="0" fontId="110" fillId="0" borderId="23" xfId="2" applyFont="1" applyBorder="1" applyAlignment="1" applyProtection="1">
      <alignment horizontal="center" vertical="center" wrapText="1"/>
      <protection locked="0"/>
    </xf>
    <xf numFmtId="0" fontId="110" fillId="0" borderId="26" xfId="2" applyFont="1" applyBorder="1" applyAlignment="1" applyProtection="1">
      <alignment horizontal="center" vertical="center" wrapText="1"/>
      <protection locked="0"/>
    </xf>
    <xf numFmtId="0" fontId="109" fillId="0" borderId="15" xfId="2" applyFont="1" applyBorder="1" applyAlignment="1">
      <alignment horizontal="center" wrapText="1"/>
    </xf>
    <xf numFmtId="0" fontId="109" fillId="0" borderId="20" xfId="2" applyFont="1" applyBorder="1" applyAlignment="1">
      <alignment horizontal="center" wrapText="1"/>
    </xf>
    <xf numFmtId="0" fontId="109" fillId="0" borderId="15" xfId="2" applyFont="1" applyBorder="1" applyAlignment="1">
      <alignment horizontal="center" vertical="center" wrapText="1"/>
    </xf>
    <xf numFmtId="0" fontId="109" fillId="0" borderId="20" xfId="2" applyFont="1" applyBorder="1" applyAlignment="1">
      <alignment horizontal="center" vertical="center" wrapText="1"/>
    </xf>
    <xf numFmtId="0" fontId="109" fillId="4" borderId="0" xfId="2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1" fillId="4" borderId="0" xfId="0" applyFont="1" applyFill="1" applyAlignment="1">
      <alignment horizontal="left" vertical="center"/>
    </xf>
    <xf numFmtId="0" fontId="123" fillId="4" borderId="0" xfId="0" applyFont="1" applyFill="1" applyAlignment="1">
      <alignment horizontal="center"/>
    </xf>
    <xf numFmtId="0" fontId="112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0" fontId="31" fillId="4" borderId="0" xfId="0" applyFont="1" applyFill="1" applyAlignment="1">
      <alignment horizontal="justify" vertical="distributed" wrapText="1"/>
    </xf>
    <xf numFmtId="0" fontId="31" fillId="0" borderId="5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0" xfId="0" applyFont="1" applyAlignment="1">
      <alignment horizontal="left" vertical="center" wrapText="1" indent="1"/>
    </xf>
    <xf numFmtId="0" fontId="31" fillId="0" borderId="30" xfId="0" applyFont="1" applyBorder="1" applyAlignment="1">
      <alignment horizontal="left" vertical="center" wrapText="1" inden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0" fontId="31" fillId="0" borderId="30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0" fontId="121" fillId="0" borderId="28" xfId="0" applyFont="1" applyBorder="1" applyAlignment="1">
      <alignment horizontal="justify" vertical="distributed" wrapText="1"/>
    </xf>
    <xf numFmtId="0" fontId="121" fillId="0" borderId="5" xfId="0" applyFont="1" applyBorder="1" applyAlignment="1">
      <alignment horizontal="justify" vertical="distributed" wrapText="1"/>
    </xf>
    <xf numFmtId="0" fontId="121" fillId="0" borderId="10" xfId="0" applyFont="1" applyBorder="1" applyAlignment="1">
      <alignment horizontal="justify" vertical="distributed" wrapText="1"/>
    </xf>
    <xf numFmtId="0" fontId="31" fillId="0" borderId="4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30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31" fillId="0" borderId="5" xfId="0" applyFont="1" applyBorder="1" applyAlignment="1">
      <alignment horizontal="left" vertical="center" indent="1"/>
    </xf>
    <xf numFmtId="0" fontId="31" fillId="0" borderId="10" xfId="0" applyFont="1" applyBorder="1" applyAlignment="1">
      <alignment horizontal="left" vertical="center" indent="1"/>
    </xf>
    <xf numFmtId="0" fontId="31" fillId="0" borderId="5" xfId="0" applyFont="1" applyBorder="1" applyAlignment="1">
      <alignment horizontal="left" vertical="center" wrapText="1" indent="1"/>
    </xf>
    <xf numFmtId="0" fontId="31" fillId="0" borderId="10" xfId="0" applyFont="1" applyBorder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/>
    </xf>
    <xf numFmtId="0" fontId="9" fillId="4" borderId="20" xfId="0" applyFont="1" applyFill="1" applyBorder="1" applyAlignment="1">
      <alignment horizontal="left" vertical="center" shrinkToFit="1"/>
    </xf>
    <xf numFmtId="0" fontId="9" fillId="4" borderId="21" xfId="0" applyFont="1" applyFill="1" applyBorder="1" applyAlignment="1">
      <alignment horizontal="left" vertical="center" shrinkToFit="1"/>
    </xf>
    <xf numFmtId="0" fontId="12" fillId="4" borderId="0" xfId="0" applyFont="1" applyFill="1" applyAlignment="1">
      <alignment horizontal="left" vertical="center"/>
    </xf>
    <xf numFmtId="0" fontId="12" fillId="4" borderId="18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 applyProtection="1">
      <alignment horizontal="left" vertical="center"/>
      <protection locked="0"/>
    </xf>
    <xf numFmtId="0" fontId="53" fillId="4" borderId="0" xfId="0" applyFont="1" applyFill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5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9" fillId="4" borderId="20" xfId="0" applyFont="1" applyFill="1" applyBorder="1" applyAlignment="1">
      <alignment horizontal="left" indent="5"/>
    </xf>
    <xf numFmtId="0" fontId="9" fillId="4" borderId="58" xfId="0" applyFont="1" applyFill="1" applyBorder="1" applyAlignment="1">
      <alignment horizontal="left" indent="5"/>
    </xf>
    <xf numFmtId="0" fontId="7" fillId="0" borderId="6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1" fontId="7" fillId="4" borderId="36" xfId="0" applyNumberFormat="1" applyFont="1" applyFill="1" applyBorder="1" applyAlignment="1">
      <alignment horizontal="center" vertical="center"/>
    </xf>
    <xf numFmtId="0" fontId="99" fillId="4" borderId="19" xfId="0" applyFont="1" applyFill="1" applyBorder="1" applyAlignment="1">
      <alignment horizontal="left" vertical="center"/>
    </xf>
    <xf numFmtId="0" fontId="99" fillId="4" borderId="20" xfId="0" applyFont="1" applyFill="1" applyBorder="1" applyAlignment="1">
      <alignment horizontal="left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1" fontId="7" fillId="4" borderId="1" xfId="0" applyNumberFormat="1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54" xfId="0" applyFont="1" applyFill="1" applyBorder="1" applyAlignment="1" applyProtection="1">
      <alignment horizontal="center" vertical="center" wrapText="1"/>
      <protection locked="0"/>
    </xf>
    <xf numFmtId="0" fontId="9" fillId="4" borderId="43" xfId="0" applyFont="1" applyFill="1" applyBorder="1" applyAlignment="1" applyProtection="1">
      <alignment horizontal="center" vertical="center" wrapText="1"/>
      <protection locked="0"/>
    </xf>
    <xf numFmtId="0" fontId="9" fillId="4" borderId="55" xfId="0" applyFont="1" applyFill="1" applyBorder="1" applyAlignment="1" applyProtection="1">
      <alignment horizontal="center" vertical="center" wrapText="1"/>
      <protection locked="0"/>
    </xf>
    <xf numFmtId="0" fontId="9" fillId="4" borderId="56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54" xfId="0" applyFont="1" applyFill="1" applyBorder="1" applyAlignment="1" applyProtection="1">
      <alignment horizontal="center" vertical="center"/>
      <protection locked="0"/>
    </xf>
    <xf numFmtId="0" fontId="9" fillId="4" borderId="43" xfId="0" applyFont="1" applyFill="1" applyBorder="1" applyAlignment="1" applyProtection="1">
      <alignment horizontal="center" vertical="center"/>
      <protection locked="0"/>
    </xf>
    <xf numFmtId="0" fontId="9" fillId="4" borderId="55" xfId="0" applyFont="1" applyFill="1" applyBorder="1" applyAlignment="1" applyProtection="1">
      <alignment horizontal="center" vertical="center"/>
      <protection locked="0"/>
    </xf>
    <xf numFmtId="0" fontId="9" fillId="4" borderId="57" xfId="0" applyFont="1" applyFill="1" applyBorder="1" applyAlignment="1" applyProtection="1">
      <alignment horizontal="center" vertical="center" wrapText="1"/>
      <protection locked="0"/>
    </xf>
    <xf numFmtId="0" fontId="10" fillId="4" borderId="15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/>
    </xf>
    <xf numFmtId="0" fontId="5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51" fillId="5" borderId="0" xfId="0" applyFont="1" applyFill="1" applyAlignment="1">
      <alignment horizontal="center" vertical="center" wrapText="1"/>
    </xf>
    <xf numFmtId="0" fontId="110" fillId="15" borderId="3" xfId="2" applyFont="1" applyFill="1" applyBorder="1" applyAlignment="1" applyProtection="1">
      <alignment horizontal="center" vertical="center" shrinkToFit="1"/>
      <protection locked="0"/>
    </xf>
    <xf numFmtId="0" fontId="110" fillId="15" borderId="8" xfId="2" applyFont="1" applyFill="1" applyBorder="1" applyAlignment="1" applyProtection="1">
      <alignment horizontal="center" vertical="center" shrinkToFit="1"/>
      <protection locked="0"/>
    </xf>
    <xf numFmtId="0" fontId="110" fillId="15" borderId="7" xfId="2" applyFont="1" applyFill="1" applyBorder="1" applyAlignment="1" applyProtection="1">
      <alignment horizontal="center" vertical="center" shrinkToFit="1"/>
      <protection locked="0"/>
    </xf>
    <xf numFmtId="0" fontId="110" fillId="15" borderId="38" xfId="2" applyFont="1" applyFill="1" applyBorder="1" applyAlignment="1" applyProtection="1">
      <alignment horizontal="center" vertical="center" shrinkToFit="1"/>
      <protection locked="0"/>
    </xf>
    <xf numFmtId="0" fontId="110" fillId="15" borderId="39" xfId="2" applyFont="1" applyFill="1" applyBorder="1" applyAlignment="1" applyProtection="1">
      <alignment horizontal="center" vertical="center" shrinkToFit="1"/>
      <protection locked="0"/>
    </xf>
    <xf numFmtId="1" fontId="110" fillId="15" borderId="25" xfId="2" applyNumberFormat="1" applyFont="1" applyFill="1" applyBorder="1" applyAlignment="1">
      <alignment horizontal="center" vertical="center" wrapText="1"/>
    </xf>
    <xf numFmtId="0" fontId="112" fillId="4" borderId="0" xfId="0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CC"/>
      <color rgb="FF666699"/>
      <color rgb="FF00FF00"/>
      <color rgb="FFFFFF99"/>
      <color rgb="FFCCCC00"/>
      <color rgb="FF78A6DE"/>
      <color rgb="FF799ADD"/>
      <color rgb="FFFF00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iriyar.net%20'IT%20201819%20VER%206.8%20Including%20Strike%20Period%20Calculation.xlsx'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 Statement"/>
      <sheetName val="Form 16"/>
      <sheetName val="Sheet1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</sheetPr>
  <dimension ref="A1:AQ107"/>
  <sheetViews>
    <sheetView showGridLines="0" showRowColHeaders="0" tabSelected="1" view="pageBreakPreview" zoomScale="90" zoomScaleSheetLayoutView="90" workbookViewId="0">
      <selection activeCell="E3" sqref="E3:G3"/>
    </sheetView>
  </sheetViews>
  <sheetFormatPr defaultColWidth="0" defaultRowHeight="15" zeroHeight="1"/>
  <cols>
    <col min="1" max="1" width="1.42578125" style="384" customWidth="1"/>
    <col min="2" max="2" width="43.140625" style="9" customWidth="1"/>
    <col min="3" max="4" width="13.7109375" style="9" customWidth="1"/>
    <col min="5" max="14" width="12.85546875" style="9" customWidth="1"/>
    <col min="15" max="15" width="1.42578125" style="385" customWidth="1"/>
    <col min="16" max="43" width="11.5703125" style="276" hidden="1" customWidth="1"/>
    <col min="44" max="16384" width="2.5703125" style="276" hidden="1"/>
  </cols>
  <sheetData>
    <row r="1" spans="2:43" ht="7.5" customHeight="1" thickBot="1"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2:43" ht="17.25" customHeight="1">
      <c r="B2" s="562" t="s">
        <v>0</v>
      </c>
      <c r="C2" s="563"/>
      <c r="D2" s="563"/>
      <c r="E2" s="568"/>
      <c r="F2" s="568"/>
      <c r="G2" s="569"/>
      <c r="H2" s="384"/>
      <c r="I2" s="589" t="s">
        <v>1</v>
      </c>
      <c r="J2" s="589"/>
      <c r="K2" s="589"/>
      <c r="L2" s="589"/>
      <c r="M2" s="589"/>
      <c r="N2" s="587" t="s">
        <v>2</v>
      </c>
      <c r="AD2" s="276">
        <v>1</v>
      </c>
      <c r="AE2" s="276" t="s">
        <v>3</v>
      </c>
    </row>
    <row r="3" spans="2:43" ht="17.25" customHeight="1">
      <c r="B3" s="564" t="s">
        <v>4</v>
      </c>
      <c r="C3" s="565"/>
      <c r="D3" s="565"/>
      <c r="E3" s="570"/>
      <c r="F3" s="570"/>
      <c r="G3" s="571"/>
      <c r="H3" s="384"/>
      <c r="I3" s="589"/>
      <c r="J3" s="589"/>
      <c r="K3" s="589"/>
      <c r="L3" s="589"/>
      <c r="M3" s="589"/>
      <c r="N3" s="587"/>
      <c r="O3" s="397"/>
      <c r="P3" s="277"/>
      <c r="Q3" s="277"/>
      <c r="R3" s="277"/>
      <c r="S3" s="277"/>
      <c r="T3" s="277"/>
      <c r="AD3" s="276">
        <v>4</v>
      </c>
      <c r="AE3" s="276" t="s">
        <v>5</v>
      </c>
    </row>
    <row r="4" spans="2:43" ht="17.25" customHeight="1">
      <c r="B4" s="566" t="s">
        <v>6</v>
      </c>
      <c r="C4" s="567"/>
      <c r="D4" s="567"/>
      <c r="E4" s="570"/>
      <c r="F4" s="570"/>
      <c r="G4" s="571"/>
      <c r="H4" s="384"/>
      <c r="I4" s="586" t="s">
        <v>7</v>
      </c>
      <c r="J4" s="586"/>
      <c r="K4" s="586"/>
      <c r="L4" s="586"/>
      <c r="M4" s="586"/>
      <c r="N4" s="587"/>
      <c r="R4" s="585"/>
      <c r="S4" s="585"/>
      <c r="T4" s="585"/>
      <c r="U4" s="585"/>
      <c r="V4" s="585"/>
      <c r="AD4" s="276">
        <v>7</v>
      </c>
      <c r="AE4" s="276" t="s">
        <v>8</v>
      </c>
      <c r="AQ4" s="276">
        <v>0</v>
      </c>
    </row>
    <row r="5" spans="2:43" ht="17.25" customHeight="1">
      <c r="B5" s="566" t="s">
        <v>9</v>
      </c>
      <c r="C5" s="567"/>
      <c r="D5" s="567"/>
      <c r="E5" s="578">
        <v>23834</v>
      </c>
      <c r="F5" s="578"/>
      <c r="G5" s="579"/>
      <c r="H5" s="387">
        <f>E5</f>
        <v>23834</v>
      </c>
      <c r="I5" s="572" t="s">
        <v>10</v>
      </c>
      <c r="J5" s="572"/>
      <c r="K5" s="572"/>
      <c r="L5" s="572"/>
      <c r="M5" s="572"/>
      <c r="N5" s="572"/>
      <c r="R5" s="442"/>
      <c r="S5" s="442"/>
      <c r="T5" s="442"/>
      <c r="U5" s="442"/>
      <c r="V5" s="442"/>
    </row>
    <row r="6" spans="2:43" ht="17.25" hidden="1" customHeight="1">
      <c r="B6" s="573" t="s">
        <v>11</v>
      </c>
      <c r="C6" s="574"/>
      <c r="D6" s="575"/>
      <c r="E6" s="576">
        <f>TRUNC(YEARFRAC(E5,H6))</f>
        <v>59</v>
      </c>
      <c r="F6" s="576"/>
      <c r="G6" s="577"/>
      <c r="H6" s="388">
        <v>45748</v>
      </c>
      <c r="I6" s="572"/>
      <c r="J6" s="572"/>
      <c r="K6" s="572"/>
      <c r="L6" s="572"/>
      <c r="M6" s="572"/>
      <c r="N6" s="572"/>
      <c r="R6" s="442"/>
      <c r="S6" s="442"/>
      <c r="T6" s="442"/>
      <c r="U6" s="442"/>
      <c r="V6" s="442"/>
    </row>
    <row r="7" spans="2:43" ht="17.25" customHeight="1">
      <c r="B7" s="564" t="s">
        <v>12</v>
      </c>
      <c r="C7" s="565"/>
      <c r="D7" s="565"/>
      <c r="E7" s="582" t="s">
        <v>13</v>
      </c>
      <c r="F7" s="582"/>
      <c r="G7" s="583"/>
      <c r="H7" s="384"/>
      <c r="I7" s="572"/>
      <c r="J7" s="572"/>
      <c r="K7" s="572"/>
      <c r="L7" s="572"/>
      <c r="M7" s="572"/>
      <c r="N7" s="572"/>
      <c r="R7" s="584"/>
      <c r="S7" s="584"/>
      <c r="T7" s="584"/>
      <c r="U7" s="584"/>
      <c r="V7" s="584"/>
      <c r="AD7" s="276">
        <v>10</v>
      </c>
      <c r="AE7" s="276">
        <v>1</v>
      </c>
      <c r="AF7" s="276">
        <v>2</v>
      </c>
      <c r="AG7" s="276">
        <v>3</v>
      </c>
      <c r="AH7" s="276">
        <v>4</v>
      </c>
      <c r="AI7" s="276">
        <v>5</v>
      </c>
      <c r="AJ7" s="276">
        <v>6</v>
      </c>
      <c r="AK7" s="276">
        <v>7</v>
      </c>
      <c r="AL7" s="276">
        <v>8</v>
      </c>
      <c r="AM7" s="276">
        <v>9</v>
      </c>
      <c r="AN7" s="276">
        <v>10</v>
      </c>
      <c r="AO7" s="276">
        <v>11</v>
      </c>
      <c r="AP7" s="276">
        <v>12</v>
      </c>
      <c r="AQ7" s="276">
        <v>1</v>
      </c>
    </row>
    <row r="8" spans="2:43" ht="17.25" customHeight="1">
      <c r="B8" s="566" t="s">
        <v>14</v>
      </c>
      <c r="C8" s="567"/>
      <c r="D8" s="567"/>
      <c r="E8" s="570"/>
      <c r="F8" s="570"/>
      <c r="G8" s="571"/>
      <c r="H8" s="384"/>
      <c r="I8" s="572"/>
      <c r="J8" s="572"/>
      <c r="K8" s="572"/>
      <c r="L8" s="572"/>
      <c r="M8" s="572"/>
      <c r="N8" s="572"/>
      <c r="AD8" s="276">
        <v>0</v>
      </c>
      <c r="AE8" s="276" t="s">
        <v>15</v>
      </c>
      <c r="AQ8" s="276">
        <v>2</v>
      </c>
    </row>
    <row r="9" spans="2:43" ht="17.25" customHeight="1">
      <c r="B9" s="580" t="s">
        <v>16</v>
      </c>
      <c r="C9" s="581"/>
      <c r="D9" s="581"/>
      <c r="E9" s="570"/>
      <c r="F9" s="570"/>
      <c r="G9" s="571"/>
      <c r="H9" s="384"/>
      <c r="I9" s="572"/>
      <c r="J9" s="572"/>
      <c r="K9" s="572"/>
      <c r="L9" s="572"/>
      <c r="M9" s="572"/>
      <c r="N9" s="572"/>
      <c r="AD9" s="276">
        <v>1</v>
      </c>
      <c r="AE9" s="276" t="s">
        <v>17</v>
      </c>
    </row>
    <row r="10" spans="2:43" ht="17.25" customHeight="1">
      <c r="B10" s="497" t="s">
        <v>18</v>
      </c>
      <c r="C10" s="498"/>
      <c r="D10" s="499"/>
      <c r="E10" s="590"/>
      <c r="F10" s="591"/>
      <c r="G10" s="592"/>
      <c r="H10" s="384"/>
      <c r="I10" s="572"/>
      <c r="J10" s="572"/>
      <c r="K10" s="572"/>
      <c r="L10" s="572"/>
      <c r="M10" s="572"/>
      <c r="N10" s="572"/>
      <c r="AD10" s="276">
        <v>0</v>
      </c>
      <c r="AE10" s="276" t="s">
        <v>19</v>
      </c>
    </row>
    <row r="11" spans="2:43" ht="17.25" customHeight="1">
      <c r="B11" s="497" t="s">
        <v>20</v>
      </c>
      <c r="C11" s="498"/>
      <c r="D11" s="499"/>
      <c r="E11" s="590"/>
      <c r="F11" s="591"/>
      <c r="G11" s="592"/>
      <c r="H11" s="384"/>
      <c r="I11" s="588" t="s">
        <v>21</v>
      </c>
      <c r="J11" s="588"/>
      <c r="K11" s="588"/>
      <c r="L11" s="588"/>
      <c r="M11" s="588"/>
      <c r="N11" s="588"/>
    </row>
    <row r="12" spans="2:43" ht="17.25" customHeight="1">
      <c r="B12" s="497" t="s">
        <v>22</v>
      </c>
      <c r="C12" s="498"/>
      <c r="D12" s="499"/>
      <c r="E12" s="590"/>
      <c r="F12" s="591"/>
      <c r="G12" s="592"/>
      <c r="H12" s="384"/>
      <c r="I12" s="588"/>
      <c r="J12" s="588"/>
      <c r="K12" s="588"/>
      <c r="L12" s="588"/>
      <c r="M12" s="588"/>
      <c r="N12" s="588"/>
      <c r="AD12" s="276">
        <v>15</v>
      </c>
      <c r="AE12" s="276">
        <v>1</v>
      </c>
    </row>
    <row r="13" spans="2:43">
      <c r="B13" s="497" t="s">
        <v>23</v>
      </c>
      <c r="C13" s="498"/>
      <c r="D13" s="499"/>
      <c r="E13" s="559"/>
      <c r="F13" s="560"/>
      <c r="G13" s="561"/>
      <c r="H13" s="338" t="s">
        <v>24</v>
      </c>
      <c r="I13" s="390"/>
      <c r="J13" s="391"/>
      <c r="K13" s="390"/>
      <c r="L13" s="390"/>
      <c r="M13" s="390"/>
      <c r="N13" s="390"/>
      <c r="O13" s="391"/>
      <c r="AD13" s="276">
        <v>30</v>
      </c>
      <c r="AE13" s="276">
        <v>2</v>
      </c>
    </row>
    <row r="14" spans="2:43" ht="16.5">
      <c r="B14" s="497" t="s">
        <v>25</v>
      </c>
      <c r="C14" s="498"/>
      <c r="D14" s="499"/>
      <c r="E14" s="559"/>
      <c r="F14" s="560"/>
      <c r="G14" s="561"/>
      <c r="H14" s="339">
        <f>'OLD front'!S12</f>
        <v>500</v>
      </c>
      <c r="I14" s="391"/>
      <c r="J14" s="391" t="s">
        <v>26</v>
      </c>
      <c r="K14" s="391"/>
      <c r="L14" s="391"/>
      <c r="M14" s="395" t="s">
        <v>27</v>
      </c>
      <c r="N14" s="391"/>
      <c r="O14" s="391"/>
      <c r="AC14" s="556" t="s">
        <v>28</v>
      </c>
      <c r="AD14" s="556"/>
      <c r="AE14" s="556"/>
      <c r="AF14" s="448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2:43" ht="16.5">
      <c r="B15" s="497" t="s">
        <v>29</v>
      </c>
      <c r="C15" s="498"/>
      <c r="D15" s="499"/>
      <c r="E15" s="559"/>
      <c r="F15" s="560"/>
      <c r="G15" s="561"/>
      <c r="H15" s="389"/>
      <c r="I15" s="391">
        <v>1</v>
      </c>
      <c r="J15" s="391" t="s">
        <v>30</v>
      </c>
      <c r="K15" s="391">
        <v>1</v>
      </c>
      <c r="L15" s="391" t="s">
        <v>31</v>
      </c>
      <c r="M15" s="395" t="s">
        <v>32</v>
      </c>
      <c r="N15" s="391"/>
      <c r="O15" s="391"/>
      <c r="AC15" s="448"/>
      <c r="AD15" s="448"/>
      <c r="AE15" s="448"/>
      <c r="AF15" s="448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2:43" ht="16.5">
      <c r="B16" s="580" t="s">
        <v>33</v>
      </c>
      <c r="C16" s="581"/>
      <c r="D16" s="581"/>
      <c r="E16" s="582"/>
      <c r="F16" s="582"/>
      <c r="G16" s="583"/>
      <c r="H16" s="389"/>
      <c r="I16" s="391">
        <v>4</v>
      </c>
      <c r="J16" s="391" t="s">
        <v>34</v>
      </c>
      <c r="K16" s="391">
        <v>2</v>
      </c>
      <c r="L16" s="391" t="s">
        <v>35</v>
      </c>
      <c r="M16" s="391"/>
      <c r="N16" s="391"/>
      <c r="O16" s="391"/>
      <c r="AC16" s="448"/>
      <c r="AD16" s="448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ht="16.5">
      <c r="B17" s="593" t="s">
        <v>36</v>
      </c>
      <c r="C17" s="518"/>
      <c r="D17" s="518"/>
      <c r="E17" s="570"/>
      <c r="F17" s="570"/>
      <c r="G17" s="571"/>
      <c r="H17" s="389"/>
      <c r="I17" s="392">
        <v>7</v>
      </c>
      <c r="J17" s="393" t="s">
        <v>37</v>
      </c>
      <c r="K17" s="393"/>
      <c r="L17" s="393"/>
      <c r="M17" s="393"/>
      <c r="N17" s="393"/>
      <c r="O17" s="391"/>
      <c r="AC17" s="448"/>
      <c r="AD17" s="448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1:41" ht="17.25" thickBot="1">
      <c r="B18" s="500" t="s">
        <v>38</v>
      </c>
      <c r="C18" s="501"/>
      <c r="D18" s="501"/>
      <c r="E18" s="594"/>
      <c r="F18" s="594"/>
      <c r="G18" s="595"/>
      <c r="H18" s="389"/>
      <c r="I18" s="392">
        <v>10</v>
      </c>
      <c r="J18" s="393" t="s">
        <v>39</v>
      </c>
      <c r="K18" s="393"/>
      <c r="L18" s="393"/>
      <c r="M18" s="393"/>
      <c r="N18" s="393"/>
      <c r="O18" s="391"/>
      <c r="AC18" s="448"/>
      <c r="AD18" s="448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ht="16.5">
      <c r="B19" s="497" t="s">
        <v>40</v>
      </c>
      <c r="C19" s="498"/>
      <c r="D19" s="499"/>
      <c r="E19" s="559"/>
      <c r="F19" s="560"/>
      <c r="G19" s="561"/>
      <c r="H19" s="389"/>
      <c r="I19" s="392"/>
      <c r="J19" s="393"/>
      <c r="K19" s="393"/>
      <c r="L19" s="393"/>
      <c r="M19" s="393"/>
      <c r="N19" s="393"/>
      <c r="O19" s="391"/>
      <c r="AC19" s="448"/>
      <c r="AD19" s="448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ht="6.75" customHeight="1">
      <c r="B20" s="383"/>
      <c r="C20" s="384"/>
      <c r="D20" s="384"/>
      <c r="E20" s="384"/>
      <c r="F20" s="384"/>
      <c r="G20" s="384"/>
      <c r="H20" s="384"/>
      <c r="I20" s="391"/>
      <c r="J20" s="391"/>
      <c r="K20" s="391"/>
      <c r="L20" s="394"/>
      <c r="M20" s="394"/>
      <c r="N20" s="394"/>
      <c r="O20" s="391"/>
      <c r="AC20" s="448"/>
      <c r="AD20" s="448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ht="13.5" customHeight="1">
      <c r="B21" s="509" t="s">
        <v>41</v>
      </c>
      <c r="C21" s="504" t="s">
        <v>42</v>
      </c>
      <c r="D21" s="558" t="s">
        <v>43</v>
      </c>
      <c r="E21" s="558" t="s">
        <v>44</v>
      </c>
      <c r="F21" s="558" t="s">
        <v>45</v>
      </c>
      <c r="G21" s="558" t="s">
        <v>46</v>
      </c>
      <c r="H21" s="557" t="s">
        <v>47</v>
      </c>
      <c r="I21" s="557" t="s">
        <v>48</v>
      </c>
      <c r="J21" s="558" t="s">
        <v>49</v>
      </c>
      <c r="K21" s="558"/>
      <c r="L21" s="558"/>
      <c r="M21" s="558"/>
      <c r="N21" s="558"/>
      <c r="AC21" s="448"/>
      <c r="AD21" s="448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spans="1:41" ht="13.5" customHeight="1">
      <c r="B22" s="510"/>
      <c r="C22" s="504"/>
      <c r="D22" s="558"/>
      <c r="E22" s="558"/>
      <c r="F22" s="558"/>
      <c r="G22" s="558"/>
      <c r="H22" s="557"/>
      <c r="I22" s="557"/>
      <c r="J22" s="444" t="s">
        <v>50</v>
      </c>
      <c r="K22" s="444" t="s">
        <v>51</v>
      </c>
      <c r="L22" s="444" t="s">
        <v>52</v>
      </c>
      <c r="M22" s="444" t="s">
        <v>53</v>
      </c>
      <c r="N22" s="444" t="s">
        <v>54</v>
      </c>
      <c r="AC22" s="448"/>
      <c r="AD22" s="448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spans="1:41" ht="21" customHeight="1">
      <c r="B23" s="238" t="s">
        <v>55</v>
      </c>
      <c r="C23" s="378"/>
      <c r="D23" s="379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AC23" s="448"/>
      <c r="AD23" s="448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spans="1:41" s="385" customFormat="1" ht="6.75" customHeight="1">
      <c r="A24" s="384"/>
      <c r="B24" s="383"/>
      <c r="C24" s="384"/>
      <c r="D24" s="384"/>
      <c r="E24" s="384"/>
      <c r="F24" s="384"/>
      <c r="G24" s="384"/>
      <c r="H24" s="384"/>
      <c r="L24" s="386"/>
      <c r="M24" s="386"/>
      <c r="N24" s="386"/>
      <c r="AC24" s="398"/>
      <c r="AD24" s="398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</row>
    <row r="25" spans="1:41" ht="16.5" customHeight="1">
      <c r="B25" s="383"/>
      <c r="C25" s="229" t="s">
        <v>56</v>
      </c>
      <c r="D25" s="229" t="s">
        <v>57</v>
      </c>
      <c r="E25" s="229" t="s">
        <v>58</v>
      </c>
      <c r="F25" s="229" t="s">
        <v>59</v>
      </c>
      <c r="G25" s="229" t="s">
        <v>60</v>
      </c>
      <c r="H25" s="229" t="s">
        <v>61</v>
      </c>
      <c r="I25" s="229" t="s">
        <v>62</v>
      </c>
      <c r="J25" s="229" t="s">
        <v>63</v>
      </c>
      <c r="K25" s="229" t="s">
        <v>64</v>
      </c>
      <c r="L25" s="229" t="s">
        <v>65</v>
      </c>
      <c r="M25" s="229" t="s">
        <v>66</v>
      </c>
      <c r="N25" s="229" t="s">
        <v>67</v>
      </c>
      <c r="AC25" s="448"/>
      <c r="AD25" s="448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</row>
    <row r="26" spans="1:41" s="385" customFormat="1" ht="2.25" customHeight="1">
      <c r="A26" s="384"/>
      <c r="B26" s="383"/>
      <c r="C26" s="384"/>
      <c r="D26" s="384"/>
      <c r="E26" s="384"/>
      <c r="F26" s="384"/>
      <c r="G26" s="384"/>
      <c r="H26" s="384"/>
      <c r="L26" s="386"/>
      <c r="M26" s="386"/>
      <c r="N26" s="386"/>
      <c r="AC26" s="398"/>
      <c r="AD26" s="398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</row>
    <row r="27" spans="1:41" ht="15" hidden="1" customHeight="1" thickBot="1">
      <c r="B27" s="226" t="s">
        <v>68</v>
      </c>
      <c r="C27" s="381">
        <v>46</v>
      </c>
      <c r="D27" s="381">
        <v>50</v>
      </c>
      <c r="E27" s="381">
        <v>50</v>
      </c>
      <c r="F27" s="381">
        <v>50</v>
      </c>
      <c r="G27" s="381">
        <v>50</v>
      </c>
      <c r="H27" s="381">
        <v>50</v>
      </c>
      <c r="I27" s="381">
        <v>50</v>
      </c>
      <c r="J27" s="381">
        <v>53</v>
      </c>
      <c r="K27" s="381">
        <v>53</v>
      </c>
      <c r="L27" s="381">
        <v>53</v>
      </c>
      <c r="M27" s="381">
        <v>53</v>
      </c>
      <c r="N27" s="381">
        <v>53</v>
      </c>
      <c r="AC27" s="448"/>
      <c r="AD27" s="448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3" customHeight="1" thickBot="1">
      <c r="B28" s="383"/>
      <c r="C28" s="384"/>
      <c r="D28" s="384"/>
      <c r="E28" s="384"/>
      <c r="F28" s="384"/>
      <c r="G28" s="384"/>
      <c r="H28" s="384"/>
      <c r="I28" s="385"/>
      <c r="J28" s="385"/>
      <c r="K28" s="385"/>
      <c r="L28" s="386"/>
      <c r="M28" s="386"/>
      <c r="N28" s="386"/>
      <c r="AC28" s="448"/>
      <c r="AD28" s="448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29" spans="1:41" ht="21" customHeight="1" thickBot="1">
      <c r="B29" s="227" t="str">
        <f>IF(E11=1,M14,M15)</f>
        <v>GPF SUBSCRIPTIONS</v>
      </c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AC29" s="448"/>
      <c r="AD29" s="448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s="385" customFormat="1" ht="2.25" customHeight="1" thickBot="1">
      <c r="A30" s="384"/>
      <c r="B30" s="383"/>
      <c r="C30" s="384"/>
      <c r="D30" s="384"/>
      <c r="E30" s="384"/>
      <c r="F30" s="384"/>
      <c r="G30" s="384"/>
      <c r="H30" s="384"/>
      <c r="L30" s="386"/>
      <c r="M30" s="386"/>
      <c r="N30" s="386"/>
      <c r="AC30" s="398"/>
      <c r="AD30" s="398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</row>
    <row r="31" spans="1:41" ht="21" customHeight="1" thickBot="1">
      <c r="B31" s="228" t="s">
        <v>69</v>
      </c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432"/>
      <c r="AC31" s="448"/>
      <c r="AD31" s="448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s="385" customFormat="1" ht="6" customHeight="1" thickBot="1">
      <c r="A32" s="384"/>
      <c r="B32" s="383"/>
      <c r="C32" s="384"/>
      <c r="D32" s="384"/>
      <c r="E32" s="384"/>
      <c r="F32" s="384"/>
      <c r="G32" s="384"/>
      <c r="H32" s="384"/>
      <c r="L32" s="386"/>
      <c r="M32" s="386"/>
      <c r="N32" s="386"/>
      <c r="AC32" s="398"/>
      <c r="AD32" s="398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</row>
    <row r="33" spans="1:41" ht="21" customHeight="1">
      <c r="B33" s="511" t="s">
        <v>70</v>
      </c>
      <c r="C33" s="511"/>
      <c r="D33" s="411"/>
      <c r="E33" s="384"/>
      <c r="F33" s="403"/>
      <c r="G33" s="403"/>
      <c r="H33" s="403"/>
      <c r="I33" s="401"/>
      <c r="J33" s="519" t="s">
        <v>71</v>
      </c>
      <c r="K33" s="521" t="s">
        <v>72</v>
      </c>
      <c r="L33" s="522"/>
      <c r="M33" s="502" t="s">
        <v>73</v>
      </c>
      <c r="N33" s="503"/>
      <c r="AC33" s="448"/>
      <c r="AD33" s="448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ht="13.5" customHeight="1">
      <c r="B34" s="400"/>
      <c r="C34" s="400"/>
      <c r="D34" s="400"/>
      <c r="E34" s="384"/>
      <c r="F34" s="403"/>
      <c r="G34" s="403"/>
      <c r="H34" s="403"/>
      <c r="I34" s="401"/>
      <c r="J34" s="520"/>
      <c r="K34" s="230" t="s">
        <v>74</v>
      </c>
      <c r="L34" s="231" t="s">
        <v>75</v>
      </c>
      <c r="M34" s="247" t="s">
        <v>76</v>
      </c>
      <c r="N34" s="248" t="s">
        <v>77</v>
      </c>
      <c r="AC34" s="448"/>
      <c r="AD34" s="448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pans="1:41" ht="21" customHeight="1" thickBot="1">
      <c r="B35" s="512" t="s">
        <v>78</v>
      </c>
      <c r="C35" s="512"/>
      <c r="D35" s="412"/>
      <c r="E35" s="384"/>
      <c r="F35" s="389"/>
      <c r="G35" s="389"/>
      <c r="H35" s="389"/>
      <c r="I35" s="401"/>
      <c r="J35" s="413"/>
      <c r="K35" s="414"/>
      <c r="L35" s="415"/>
      <c r="M35" s="416"/>
      <c r="N35" s="417"/>
      <c r="AC35" s="448"/>
      <c r="AD35" s="448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</row>
    <row r="36" spans="1:41" s="385" customFormat="1" ht="6" customHeight="1" thickBot="1">
      <c r="A36" s="384"/>
      <c r="B36" s="383"/>
      <c r="C36" s="384"/>
      <c r="D36" s="384"/>
      <c r="E36" s="384"/>
      <c r="F36" s="384"/>
      <c r="G36" s="384"/>
      <c r="H36" s="384"/>
      <c r="L36" s="386"/>
      <c r="M36" s="386"/>
      <c r="N36" s="386"/>
      <c r="AC36" s="398"/>
      <c r="AD36" s="398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</row>
    <row r="37" spans="1:41" ht="16.5" customHeight="1">
      <c r="B37" s="523" t="s">
        <v>79</v>
      </c>
      <c r="C37" s="524"/>
      <c r="D37" s="524"/>
      <c r="E37" s="524"/>
      <c r="F37" s="524"/>
      <c r="G37" s="524"/>
      <c r="H37" s="524"/>
      <c r="I37" s="524"/>
      <c r="J37" s="524"/>
      <c r="K37" s="525"/>
      <c r="L37" s="383"/>
      <c r="M37" s="384"/>
      <c r="N37" s="402"/>
      <c r="AC37" s="448"/>
      <c r="AD37" s="448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16.5" customHeight="1">
      <c r="B38" s="247" t="s">
        <v>80</v>
      </c>
      <c r="C38" s="444" t="s">
        <v>81</v>
      </c>
      <c r="D38" s="444" t="s">
        <v>82</v>
      </c>
      <c r="E38" s="444" t="s">
        <v>83</v>
      </c>
      <c r="F38" s="444" t="s">
        <v>84</v>
      </c>
      <c r="G38" s="444" t="s">
        <v>85</v>
      </c>
      <c r="H38" s="444" t="s">
        <v>86</v>
      </c>
      <c r="I38" s="444" t="s">
        <v>87</v>
      </c>
      <c r="J38" s="443" t="s">
        <v>88</v>
      </c>
      <c r="K38" s="295" t="s">
        <v>89</v>
      </c>
      <c r="L38" s="383"/>
      <c r="M38" s="402"/>
      <c r="N38" s="402"/>
      <c r="AC38" s="448"/>
      <c r="AD38" s="448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1:41" ht="16.5" customHeight="1">
      <c r="B39" s="418" t="s">
        <v>90</v>
      </c>
      <c r="C39" s="446"/>
      <c r="D39" s="446"/>
      <c r="E39" s="446"/>
      <c r="F39" s="419">
        <f>ROUND(C23*0.04,0)*3</f>
        <v>0</v>
      </c>
      <c r="G39" s="446"/>
      <c r="H39" s="446"/>
      <c r="I39" s="446"/>
      <c r="J39" s="446"/>
      <c r="K39" s="420">
        <f>IF(E11=1,ROUND(ROUND(C23*0.04,0)*0.1,0)*3,0)</f>
        <v>0</v>
      </c>
      <c r="L39" s="384"/>
      <c r="M39" s="384"/>
      <c r="N39" s="384"/>
      <c r="AC39" s="448"/>
      <c r="AD39" s="448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 ht="16.5" customHeight="1">
      <c r="B40" s="418" t="s">
        <v>90</v>
      </c>
      <c r="C40" s="421"/>
      <c r="D40" s="421"/>
      <c r="E40" s="421"/>
      <c r="F40" s="419">
        <f>ROUND('OLD back'!B13*0.03,0)+ROUND('OLD back'!B14*0.03,0)+ROUND('OLD back'!B15*0.03,0)</f>
        <v>0</v>
      </c>
      <c r="G40" s="421"/>
      <c r="H40" s="421"/>
      <c r="I40" s="421"/>
      <c r="J40" s="421"/>
      <c r="K40" s="420">
        <f>IF(E11=1,ROUND(ROUND('OLD back'!B13*0.03,0)*0.1,0)+ROUND(ROUND('OLD back'!B14*0.03,0)*0.1,0)+ROUND(ROUND('OLD back'!B15*0.03,0)*0.1,0),0)</f>
        <v>0</v>
      </c>
      <c r="L40" s="384"/>
      <c r="M40" s="384"/>
      <c r="N40" s="384"/>
      <c r="AC40" s="448"/>
      <c r="AD40" s="448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ht="16.5" customHeight="1">
      <c r="B41" s="423"/>
      <c r="C41" s="421"/>
      <c r="D41" s="421"/>
      <c r="E41" s="421"/>
      <c r="F41" s="422"/>
      <c r="G41" s="421"/>
      <c r="H41" s="421"/>
      <c r="I41" s="421"/>
      <c r="J41" s="421"/>
      <c r="K41" s="420">
        <f>IF(E12=1,ROUND((((C41+D41+F41)*10)/100),0),0)</f>
        <v>0</v>
      </c>
      <c r="L41" s="384"/>
      <c r="M41" s="384"/>
      <c r="N41" s="384"/>
      <c r="AC41" s="448"/>
      <c r="AD41" s="448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ht="16.5" customHeight="1" thickBot="1">
      <c r="B42" s="424"/>
      <c r="C42" s="447"/>
      <c r="D42" s="447"/>
      <c r="E42" s="447"/>
      <c r="F42" s="447"/>
      <c r="G42" s="447"/>
      <c r="H42" s="447"/>
      <c r="I42" s="447"/>
      <c r="J42" s="447"/>
      <c r="K42" s="441">
        <f>IF(E11=1,ROUND((((C42+D42+F42)*10)/100),0),0)</f>
        <v>0</v>
      </c>
      <c r="L42" s="384"/>
      <c r="M42" s="384"/>
      <c r="N42" s="384"/>
      <c r="AC42" s="448"/>
      <c r="AD42" s="448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s="385" customFormat="1" ht="6" customHeight="1" thickBot="1">
      <c r="A43" s="384"/>
      <c r="B43" s="383"/>
      <c r="C43" s="384"/>
      <c r="D43" s="384"/>
      <c r="E43" s="384"/>
      <c r="F43" s="384"/>
      <c r="G43" s="384"/>
      <c r="H43" s="384"/>
      <c r="L43" s="386"/>
      <c r="M43" s="386"/>
      <c r="N43" s="386"/>
      <c r="AC43" s="398"/>
      <c r="AD43" s="398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  <c r="AO43" s="399"/>
    </row>
    <row r="44" spans="1:41" ht="21" hidden="1" customHeight="1"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</row>
    <row r="45" spans="1:41" ht="13.5" hidden="1" customHeight="1"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</row>
    <row r="46" spans="1:41" ht="21" hidden="1" customHeight="1"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</row>
    <row r="47" spans="1:41" ht="6" hidden="1" customHeight="1" thickBot="1">
      <c r="B47" s="224"/>
      <c r="C47" s="224"/>
      <c r="D47" s="29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AC47" s="12"/>
      <c r="AD47" s="12"/>
      <c r="AE47" s="12"/>
      <c r="AG47" s="12"/>
      <c r="AI47" s="12"/>
      <c r="AJ47" s="12"/>
      <c r="AK47" s="12"/>
      <c r="AL47" s="12"/>
      <c r="AM47" s="12"/>
      <c r="AN47" s="12"/>
      <c r="AO47" s="12"/>
    </row>
    <row r="48" spans="1:41" ht="16.5" customHeight="1">
      <c r="A48" s="396"/>
      <c r="B48" s="505" t="s">
        <v>91</v>
      </c>
      <c r="C48" s="506"/>
      <c r="D48" s="506"/>
      <c r="E48" s="506"/>
      <c r="F48" s="506"/>
      <c r="G48" s="506"/>
      <c r="H48" s="506"/>
      <c r="I48" s="506"/>
      <c r="J48" s="506"/>
      <c r="K48" s="506"/>
      <c r="L48" s="506"/>
      <c r="M48" s="506"/>
      <c r="N48" s="507"/>
      <c r="P48" s="297" t="s">
        <v>92</v>
      </c>
      <c r="Q48" s="276">
        <f>IF(N49+'OLD back'!M30&gt;25000,25000,N49+'OLD back'!M30)</f>
        <v>0</v>
      </c>
      <c r="AC48" s="12"/>
      <c r="AD48" s="12"/>
      <c r="AE48" s="12"/>
      <c r="AG48" s="12"/>
      <c r="AI48" s="12"/>
      <c r="AJ48" s="12"/>
      <c r="AK48" s="12"/>
      <c r="AL48" s="12"/>
      <c r="AM48" s="12"/>
      <c r="AN48" s="12"/>
      <c r="AO48" s="12"/>
    </row>
    <row r="49" spans="1:42" ht="15.75" customHeight="1">
      <c r="A49" s="396"/>
      <c r="B49" s="517" t="s">
        <v>93</v>
      </c>
      <c r="C49" s="517"/>
      <c r="D49" s="517"/>
      <c r="E49" s="425"/>
      <c r="F49" s="298" t="s">
        <v>94</v>
      </c>
      <c r="G49" s="427"/>
      <c r="H49" s="299" t="s">
        <v>95</v>
      </c>
      <c r="I49" s="445"/>
      <c r="J49" s="508" t="s">
        <v>96</v>
      </c>
      <c r="K49" s="508"/>
      <c r="L49" s="508"/>
      <c r="M49" s="508"/>
      <c r="N49" s="445"/>
      <c r="P49" s="297" t="s">
        <v>97</v>
      </c>
      <c r="Q49" s="297">
        <f>IF(N50&gt;25000,25000,N50)</f>
        <v>0</v>
      </c>
      <c r="S49" s="297" t="s">
        <v>98</v>
      </c>
      <c r="T49" s="276">
        <f>Q48+Q49+Q50</f>
        <v>0</v>
      </c>
      <c r="AC49" s="12"/>
      <c r="AD49" s="12"/>
      <c r="AE49" s="12"/>
      <c r="AG49" s="12"/>
      <c r="AI49" s="12"/>
      <c r="AJ49" s="12"/>
      <c r="AK49" s="12"/>
      <c r="AL49" s="12"/>
      <c r="AM49" s="12"/>
      <c r="AN49" s="12"/>
      <c r="AO49" s="12"/>
    </row>
    <row r="50" spans="1:42" ht="15.75" customHeight="1">
      <c r="A50" s="396"/>
      <c r="B50" s="518" t="s">
        <v>99</v>
      </c>
      <c r="C50" s="518"/>
      <c r="D50" s="518"/>
      <c r="E50" s="426"/>
      <c r="F50" s="299" t="s">
        <v>100</v>
      </c>
      <c r="G50" s="445"/>
      <c r="H50" s="439" t="s">
        <v>101</v>
      </c>
      <c r="I50" s="426"/>
      <c r="J50" s="508" t="s">
        <v>102</v>
      </c>
      <c r="K50" s="508"/>
      <c r="L50" s="508"/>
      <c r="M50" s="508"/>
      <c r="N50" s="445"/>
      <c r="P50" s="297" t="s">
        <v>103</v>
      </c>
      <c r="Q50" s="297">
        <f>IF(N51&gt;50000,50000,N51)</f>
        <v>0</v>
      </c>
      <c r="S50" s="297" t="s">
        <v>104</v>
      </c>
      <c r="T50" s="276">
        <f>Q48+Q49+Q51</f>
        <v>0</v>
      </c>
      <c r="AC50" s="12"/>
      <c r="AD50" s="12"/>
      <c r="AE50" s="12"/>
      <c r="AG50" s="12"/>
      <c r="AI50" s="12"/>
      <c r="AJ50" s="12"/>
      <c r="AK50" s="12"/>
      <c r="AL50" s="12"/>
      <c r="AM50" s="12"/>
      <c r="AN50" s="12"/>
      <c r="AO50" s="12"/>
    </row>
    <row r="51" spans="1:42" ht="15.75" customHeight="1">
      <c r="A51" s="396"/>
      <c r="B51" s="518" t="s">
        <v>105</v>
      </c>
      <c r="C51" s="518"/>
      <c r="D51" s="518"/>
      <c r="E51" s="426"/>
      <c r="F51" s="299" t="s">
        <v>106</v>
      </c>
      <c r="G51" s="445"/>
      <c r="H51" s="300" t="s">
        <v>107</v>
      </c>
      <c r="I51" s="445"/>
      <c r="J51" s="508" t="s">
        <v>108</v>
      </c>
      <c r="K51" s="508"/>
      <c r="L51" s="508"/>
      <c r="M51" s="508"/>
      <c r="N51" s="445"/>
      <c r="P51" s="297" t="s">
        <v>109</v>
      </c>
      <c r="Q51" s="297">
        <f>IF(N52&gt;50000,50000,N52)</f>
        <v>0</v>
      </c>
      <c r="S51" s="297" t="s">
        <v>110</v>
      </c>
      <c r="T51" s="276">
        <f>IF((Q48+Q50+Q51)&gt;100000,100000,Q48+Q50+Q51)</f>
        <v>0</v>
      </c>
      <c r="AC51" s="12"/>
      <c r="AD51" s="12"/>
      <c r="AE51" s="12"/>
      <c r="AG51" s="12"/>
      <c r="AI51" s="12"/>
      <c r="AJ51" s="12"/>
      <c r="AK51" s="12"/>
      <c r="AL51" s="12"/>
      <c r="AM51" s="12"/>
      <c r="AN51" s="12"/>
      <c r="AO51" s="12"/>
    </row>
    <row r="52" spans="1:42" ht="15.75" customHeight="1">
      <c r="A52" s="396"/>
      <c r="B52" s="518" t="s">
        <v>111</v>
      </c>
      <c r="C52" s="518"/>
      <c r="D52" s="518"/>
      <c r="E52" s="426"/>
      <c r="F52" s="292" t="s">
        <v>112</v>
      </c>
      <c r="G52" s="425"/>
      <c r="H52" s="301" t="s">
        <v>113</v>
      </c>
      <c r="I52" s="427"/>
      <c r="J52" s="508" t="s">
        <v>114</v>
      </c>
      <c r="K52" s="508"/>
      <c r="L52" s="508"/>
      <c r="M52" s="508"/>
      <c r="N52" s="445"/>
      <c r="AC52" s="12">
        <v>13600</v>
      </c>
      <c r="AD52" s="12">
        <f>E12</f>
        <v>0</v>
      </c>
      <c r="AE52" s="12">
        <f>IF(E12=AF52,AG52, IF(E12=AH52,AI52, IF(E12=AJ52,AK52, IF(E12=AL52,AM52, IF(E12=AN52,AO52, 0)))))</f>
        <v>0</v>
      </c>
      <c r="AF52" s="276" t="s">
        <v>26</v>
      </c>
      <c r="AG52" s="12">
        <v>1300</v>
      </c>
      <c r="AH52" s="276" t="s">
        <v>30</v>
      </c>
      <c r="AI52" s="12">
        <v>700</v>
      </c>
      <c r="AJ52" s="12" t="s">
        <v>34</v>
      </c>
      <c r="AK52" s="12">
        <v>600</v>
      </c>
      <c r="AL52" s="12" t="s">
        <v>37</v>
      </c>
      <c r="AM52" s="12">
        <v>400</v>
      </c>
      <c r="AN52" s="12" t="s">
        <v>39</v>
      </c>
      <c r="AO52" s="12">
        <v>250</v>
      </c>
      <c r="AP52" s="276" t="s">
        <v>26</v>
      </c>
    </row>
    <row r="53" spans="1:42" ht="16.5" hidden="1" customHeight="1">
      <c r="B53" s="213"/>
      <c r="C53" s="213"/>
      <c r="F53" s="177"/>
      <c r="AC53" s="271">
        <v>17200</v>
      </c>
      <c r="AD53" s="12">
        <f>E12</f>
        <v>0</v>
      </c>
      <c r="AE53" s="12">
        <f>IF(E12=AF53,AG53, IF(E12=AH53,AI53, IF(E12=AJ53,AK53, IF(E12=AL53,AM53, IF(E12=AN53,AO53, 0)))))</f>
        <v>0</v>
      </c>
      <c r="AF53" s="276" t="s">
        <v>26</v>
      </c>
      <c r="AG53" s="12">
        <v>1500</v>
      </c>
      <c r="AH53" s="276" t="s">
        <v>30</v>
      </c>
      <c r="AI53" s="12">
        <v>1000</v>
      </c>
      <c r="AJ53" s="12" t="s">
        <v>34</v>
      </c>
      <c r="AK53" s="12">
        <v>700</v>
      </c>
      <c r="AL53" s="12" t="s">
        <v>37</v>
      </c>
      <c r="AM53" s="12">
        <v>450</v>
      </c>
      <c r="AN53" s="12" t="s">
        <v>39</v>
      </c>
      <c r="AO53" s="12">
        <v>300</v>
      </c>
      <c r="AP53" s="276" t="s">
        <v>30</v>
      </c>
    </row>
    <row r="54" spans="1:42" ht="16.5" hidden="1" customHeight="1">
      <c r="B54" s="206" t="s">
        <v>115</v>
      </c>
      <c r="C54" s="223">
        <f>IF(E54&gt;0, 50000, 0)</f>
        <v>0</v>
      </c>
      <c r="E54" s="195">
        <f>IF(E11=1, P67-150000, 0)</f>
        <v>0</v>
      </c>
      <c r="G54" s="133"/>
      <c r="AC54" s="271">
        <v>21000</v>
      </c>
      <c r="AD54" s="12">
        <f>E12</f>
        <v>0</v>
      </c>
      <c r="AE54" s="12">
        <f>IF(E12=AF54,AG54, IF(E12=AH54,AI54, IF(E12=AJ54,AK54, IF(E12=AL54,AM54, IF(E12=AN54,AO54, 0)))))</f>
        <v>0</v>
      </c>
      <c r="AF54" s="276" t="s">
        <v>26</v>
      </c>
      <c r="AG54" s="12">
        <v>1800</v>
      </c>
      <c r="AH54" s="276" t="s">
        <v>30</v>
      </c>
      <c r="AI54" s="12">
        <v>1200</v>
      </c>
      <c r="AJ54" s="12" t="s">
        <v>34</v>
      </c>
      <c r="AK54" s="12">
        <v>800</v>
      </c>
      <c r="AL54" s="12" t="s">
        <v>37</v>
      </c>
      <c r="AM54" s="12">
        <v>500</v>
      </c>
      <c r="AN54" s="12" t="s">
        <v>39</v>
      </c>
      <c r="AO54" s="12">
        <v>350</v>
      </c>
      <c r="AP54" s="276" t="s">
        <v>34</v>
      </c>
    </row>
    <row r="55" spans="1:42" ht="16.5" hidden="1" customHeight="1">
      <c r="B55" s="134" t="s">
        <v>116</v>
      </c>
      <c r="C55" s="130"/>
      <c r="D55" s="192"/>
      <c r="I55" s="194"/>
      <c r="K55" s="218"/>
      <c r="L55" s="218"/>
      <c r="M55" s="218"/>
      <c r="N55" s="219"/>
      <c r="O55" s="385">
        <v>4</v>
      </c>
      <c r="AC55" s="12">
        <v>23900</v>
      </c>
      <c r="AD55" s="12">
        <f>E12</f>
        <v>0</v>
      </c>
      <c r="AE55" s="12">
        <f>IF(E12=AF55,AG55, IF(E12=AH55,AI55, IF(E12=AJ55,AK55, IF(E12=AL55,AM55, IF(E12=AN55,AO55, 0)))))</f>
        <v>0</v>
      </c>
      <c r="AF55" s="276" t="s">
        <v>26</v>
      </c>
      <c r="AG55" s="12">
        <v>2100</v>
      </c>
      <c r="AH55" s="276" t="s">
        <v>30</v>
      </c>
      <c r="AI55" s="12">
        <v>1400</v>
      </c>
      <c r="AJ55" s="12" t="s">
        <v>34</v>
      </c>
      <c r="AK55" s="12">
        <v>1000</v>
      </c>
      <c r="AL55" s="12" t="s">
        <v>37</v>
      </c>
      <c r="AM55" s="12">
        <v>700</v>
      </c>
      <c r="AN55" s="12" t="s">
        <v>39</v>
      </c>
      <c r="AO55" s="12">
        <v>400</v>
      </c>
      <c r="AP55" s="276" t="s">
        <v>37</v>
      </c>
    </row>
    <row r="56" spans="1:42" ht="16.5" hidden="1" customHeight="1">
      <c r="B56" s="135" t="s">
        <v>117</v>
      </c>
      <c r="C56" s="130"/>
      <c r="D56" s="192"/>
      <c r="I56" s="194"/>
      <c r="M56" s="217"/>
      <c r="O56" s="385">
        <v>5</v>
      </c>
      <c r="AC56" s="12">
        <v>27200</v>
      </c>
      <c r="AD56" s="12">
        <f>E12</f>
        <v>0</v>
      </c>
      <c r="AE56" s="12">
        <f>IF(E12=AF56,AG56, IF(E12=AH56,AI56, IF(E12=AJ56,AK56, IF(E12=AL56,AM56, IF(E12=AN56,AO56, 0)))))</f>
        <v>0</v>
      </c>
      <c r="AF56" s="276" t="s">
        <v>26</v>
      </c>
      <c r="AG56" s="12">
        <v>2600</v>
      </c>
      <c r="AH56" s="276" t="s">
        <v>30</v>
      </c>
      <c r="AI56" s="12">
        <v>1700</v>
      </c>
      <c r="AJ56" s="12" t="s">
        <v>34</v>
      </c>
      <c r="AK56" s="12">
        <v>1200</v>
      </c>
      <c r="AL56" s="12" t="s">
        <v>37</v>
      </c>
      <c r="AM56" s="12">
        <v>800</v>
      </c>
      <c r="AN56" s="12" t="s">
        <v>39</v>
      </c>
      <c r="AO56" s="12">
        <v>400</v>
      </c>
      <c r="AP56" s="276" t="s">
        <v>39</v>
      </c>
    </row>
    <row r="57" spans="1:42" ht="16.5" hidden="1" customHeight="1">
      <c r="B57" s="529" t="s">
        <v>118</v>
      </c>
      <c r="C57" s="513">
        <v>0</v>
      </c>
      <c r="D57" s="193"/>
      <c r="I57" s="194"/>
      <c r="L57" s="176"/>
      <c r="M57" s="177"/>
      <c r="N57" s="178"/>
      <c r="O57" s="385">
        <v>6</v>
      </c>
      <c r="AC57" s="12">
        <v>30600</v>
      </c>
      <c r="AD57" s="12">
        <f>E12</f>
        <v>0</v>
      </c>
      <c r="AE57" s="12">
        <f>IF(E12=AF57,AG57, IF(E12=AH57,AI57, IF(E12=AJ57,AK57, IF(E12=AL57,AM57, IF(E12=AN57,AO57, 0)))))</f>
        <v>0</v>
      </c>
      <c r="AF57" s="276" t="s">
        <v>26</v>
      </c>
      <c r="AG57" s="12">
        <v>3100</v>
      </c>
      <c r="AH57" s="276" t="s">
        <v>30</v>
      </c>
      <c r="AI57" s="12">
        <v>2000</v>
      </c>
      <c r="AJ57" s="12" t="s">
        <v>34</v>
      </c>
      <c r="AK57" s="12">
        <v>1500</v>
      </c>
      <c r="AL57" s="12" t="s">
        <v>37</v>
      </c>
      <c r="AM57" s="12">
        <v>1000</v>
      </c>
      <c r="AN57" s="12" t="s">
        <v>39</v>
      </c>
      <c r="AO57" s="12">
        <v>450</v>
      </c>
    </row>
    <row r="58" spans="1:42" ht="16.5" hidden="1" customHeight="1">
      <c r="B58" s="529"/>
      <c r="C58" s="513"/>
      <c r="D58" s="193"/>
      <c r="I58" s="194"/>
      <c r="L58" s="176"/>
      <c r="M58" s="177"/>
      <c r="N58" s="178"/>
      <c r="O58" s="385">
        <v>7</v>
      </c>
      <c r="AC58" s="12">
        <v>35400</v>
      </c>
      <c r="AD58" s="12">
        <f>E12</f>
        <v>0</v>
      </c>
      <c r="AE58" s="12">
        <f>IF(E12=AF58,AG58, IF(E12=AH58,AI58, IF(E12=AJ58,AK58, IF(E12=AL58,AM58, IF(E12=AN58,AO58, 0)))))</f>
        <v>0</v>
      </c>
      <c r="AF58" s="276" t="s">
        <v>26</v>
      </c>
      <c r="AG58" s="12">
        <v>3600</v>
      </c>
      <c r="AH58" s="276" t="s">
        <v>30</v>
      </c>
      <c r="AI58" s="12">
        <v>2300</v>
      </c>
      <c r="AJ58" s="12" t="s">
        <v>34</v>
      </c>
      <c r="AK58" s="12">
        <v>1700</v>
      </c>
      <c r="AL58" s="12" t="s">
        <v>37</v>
      </c>
      <c r="AM58" s="12">
        <v>1200</v>
      </c>
      <c r="AN58" s="12" t="s">
        <v>39</v>
      </c>
      <c r="AO58" s="12">
        <v>500</v>
      </c>
    </row>
    <row r="59" spans="1:42" ht="16.5" hidden="1" customHeight="1">
      <c r="B59" s="529"/>
      <c r="C59" s="513"/>
      <c r="D59" s="193"/>
      <c r="I59" s="194"/>
      <c r="M59" s="215"/>
      <c r="AC59" s="12">
        <v>37300</v>
      </c>
      <c r="AD59" s="12">
        <f>E12</f>
        <v>0</v>
      </c>
      <c r="AE59" s="12">
        <f>IF(E12=AF59,AG59, IF(E12=AH59,AI59, IF(E12=AJ59,AK59, IF(E12=AL59,AM59, IF(E12=AN59,AO59, 0)))))</f>
        <v>0</v>
      </c>
      <c r="AF59" s="276" t="s">
        <v>26</v>
      </c>
      <c r="AG59" s="12">
        <v>4200</v>
      </c>
      <c r="AH59" s="276" t="s">
        <v>30</v>
      </c>
      <c r="AI59" s="12">
        <v>2600</v>
      </c>
      <c r="AJ59" s="12" t="s">
        <v>34</v>
      </c>
      <c r="AK59" s="12">
        <v>1800</v>
      </c>
      <c r="AL59" s="12" t="s">
        <v>37</v>
      </c>
      <c r="AM59" s="12">
        <v>1500</v>
      </c>
      <c r="AN59" s="12" t="s">
        <v>39</v>
      </c>
      <c r="AO59" s="12">
        <v>550</v>
      </c>
    </row>
    <row r="60" spans="1:42" ht="16.5" hidden="1" customHeight="1">
      <c r="B60" s="205" t="s">
        <v>119</v>
      </c>
      <c r="C60" s="453"/>
      <c r="D60" s="194"/>
      <c r="I60" s="194"/>
      <c r="K60" s="206"/>
      <c r="L60" s="206"/>
      <c r="M60" s="207"/>
      <c r="AC60" s="12">
        <v>41100</v>
      </c>
      <c r="AD60" s="12">
        <f>E12</f>
        <v>0</v>
      </c>
      <c r="AE60" s="12">
        <f>IF(E12=AF60,AG60, IF(E12=AH60,AI60, IF(E12=AJ60,AK60, IF(E12=AL60,AM60, IF(E12=AN60,AO60, 0)))))</f>
        <v>0</v>
      </c>
      <c r="AF60" s="276" t="s">
        <v>26</v>
      </c>
      <c r="AG60" s="12">
        <v>4700</v>
      </c>
      <c r="AH60" s="276" t="s">
        <v>30</v>
      </c>
      <c r="AI60" s="12">
        <v>3000</v>
      </c>
      <c r="AJ60" s="12" t="s">
        <v>34</v>
      </c>
      <c r="AK60" s="12">
        <v>2300</v>
      </c>
      <c r="AL60" s="12" t="s">
        <v>37</v>
      </c>
      <c r="AM60" s="12">
        <v>1700</v>
      </c>
      <c r="AN60" s="12" t="s">
        <v>39</v>
      </c>
      <c r="AO60" s="12">
        <v>600</v>
      </c>
    </row>
    <row r="61" spans="1:42" ht="16.5" hidden="1" customHeight="1">
      <c r="B61" s="195"/>
      <c r="C61" s="195"/>
      <c r="D61" s="194"/>
      <c r="E61" s="194"/>
      <c r="F61" s="194"/>
      <c r="G61" s="194"/>
      <c r="H61" s="194"/>
      <c r="I61" s="194"/>
      <c r="J61" s="208"/>
      <c r="K61" s="209"/>
      <c r="L61" s="209"/>
      <c r="M61" s="210"/>
      <c r="N61" s="220"/>
      <c r="O61" s="385">
        <v>8</v>
      </c>
      <c r="AC61" s="12">
        <v>44500</v>
      </c>
      <c r="AD61" s="12">
        <f>E12</f>
        <v>0</v>
      </c>
      <c r="AE61" s="12">
        <f>IF(E12=AF61,AG61, IF(E12=AH61,AI61, IF(E12=AJ61,AK61, IF(E12=AL61,AM61, IF(E12=AN61,AO61, 0)))))</f>
        <v>0</v>
      </c>
      <c r="AF61" s="276" t="s">
        <v>26</v>
      </c>
      <c r="AG61" s="12">
        <v>5200</v>
      </c>
      <c r="AH61" s="276" t="s">
        <v>30</v>
      </c>
      <c r="AI61" s="12">
        <v>3300</v>
      </c>
      <c r="AJ61" s="12" t="s">
        <v>34</v>
      </c>
      <c r="AK61" s="12">
        <v>2600</v>
      </c>
      <c r="AL61" s="12" t="s">
        <v>37</v>
      </c>
      <c r="AM61" s="12">
        <v>1900</v>
      </c>
      <c r="AN61" s="12" t="s">
        <v>39</v>
      </c>
      <c r="AO61" s="12">
        <v>650</v>
      </c>
    </row>
    <row r="62" spans="1:42" ht="16.5" hidden="1" customHeight="1">
      <c r="D62" s="194"/>
      <c r="I62" s="198"/>
      <c r="K62" s="211"/>
      <c r="L62" s="211"/>
      <c r="M62" s="121"/>
      <c r="O62" s="385">
        <v>9</v>
      </c>
      <c r="AC62" s="12">
        <v>50200</v>
      </c>
      <c r="AD62" s="12">
        <f>E12</f>
        <v>0</v>
      </c>
      <c r="AE62" s="12">
        <f>IF(E12=AF62,AG62, IF(E12=AH62,AI62, IF(E12=AJ62,AK62, IF(E12=AL62,AM62, IF(E12=AN62,AO62, 0)))))</f>
        <v>0</v>
      </c>
      <c r="AF62" s="276" t="s">
        <v>26</v>
      </c>
      <c r="AG62" s="12">
        <v>5700</v>
      </c>
      <c r="AH62" s="276" t="s">
        <v>30</v>
      </c>
      <c r="AI62" s="12">
        <v>3600</v>
      </c>
      <c r="AJ62" s="12" t="s">
        <v>34</v>
      </c>
      <c r="AK62" s="12">
        <v>2900</v>
      </c>
      <c r="AL62" s="12" t="s">
        <v>37</v>
      </c>
      <c r="AM62" s="12">
        <v>2000</v>
      </c>
      <c r="AN62" s="12" t="s">
        <v>39</v>
      </c>
      <c r="AO62" s="12">
        <v>650</v>
      </c>
    </row>
    <row r="63" spans="1:42" ht="16.5" hidden="1" customHeight="1">
      <c r="B63" s="530" t="s">
        <v>120</v>
      </c>
      <c r="C63" s="530"/>
      <c r="D63" s="530"/>
      <c r="E63" s="216"/>
      <c r="F63" s="190"/>
      <c r="G63" s="190"/>
      <c r="H63" s="197"/>
      <c r="I63" s="199"/>
      <c r="J63" s="212"/>
      <c r="K63" s="213"/>
      <c r="L63" s="213"/>
      <c r="M63" s="214"/>
      <c r="N63" s="129"/>
      <c r="AC63" s="12"/>
      <c r="AD63" s="12"/>
      <c r="AE63" s="12"/>
      <c r="AG63" s="12"/>
      <c r="AI63" s="12"/>
      <c r="AJ63" s="12"/>
      <c r="AK63" s="12"/>
      <c r="AL63" s="12"/>
      <c r="AM63" s="12"/>
      <c r="AN63" s="12"/>
      <c r="AO63" s="12"/>
    </row>
    <row r="64" spans="1:42" ht="16.5" hidden="1" customHeight="1">
      <c r="B64" s="531" t="s">
        <v>121</v>
      </c>
      <c r="C64" s="532"/>
      <c r="D64" s="532"/>
      <c r="E64" s="216"/>
      <c r="F64" s="156"/>
      <c r="G64" s="156"/>
      <c r="H64" s="157"/>
      <c r="I64" s="199"/>
      <c r="K64" s="221"/>
      <c r="L64" s="221"/>
      <c r="M64" s="222"/>
      <c r="AC64" s="12"/>
      <c r="AD64" s="12"/>
      <c r="AE64" s="12"/>
      <c r="AG64" s="12"/>
      <c r="AI64" s="12"/>
      <c r="AJ64" s="12"/>
      <c r="AK64" s="12"/>
      <c r="AL64" s="12"/>
      <c r="AM64" s="12"/>
      <c r="AN64" s="12"/>
      <c r="AO64" s="12"/>
    </row>
    <row r="65" spans="1:41" ht="16.5" hidden="1" customHeight="1">
      <c r="B65" s="161"/>
      <c r="C65" s="163"/>
      <c r="D65" s="14"/>
      <c r="E65" s="156"/>
      <c r="F65" s="156"/>
      <c r="G65" s="156"/>
      <c r="H65" s="157"/>
      <c r="I65" s="199"/>
      <c r="J65" s="158"/>
      <c r="K65" s="159"/>
      <c r="L65" s="159"/>
      <c r="M65" s="160"/>
      <c r="N65" s="132"/>
      <c r="AC65" s="12"/>
      <c r="AD65" s="12"/>
      <c r="AE65" s="12"/>
      <c r="AG65" s="12"/>
      <c r="AI65" s="12"/>
      <c r="AJ65" s="12"/>
      <c r="AK65" s="12"/>
      <c r="AL65" s="12"/>
      <c r="AM65" s="12"/>
      <c r="AN65" s="12"/>
      <c r="AO65" s="12"/>
    </row>
    <row r="66" spans="1:41" ht="16.5" hidden="1" customHeight="1">
      <c r="B66" s="161"/>
      <c r="C66" s="163"/>
      <c r="D66" s="14"/>
      <c r="E66" s="156"/>
      <c r="F66" s="156"/>
      <c r="G66" s="156"/>
      <c r="H66" s="157"/>
      <c r="I66" s="199"/>
      <c r="J66" s="158"/>
      <c r="K66" s="159"/>
      <c r="L66" s="159"/>
      <c r="M66" s="160"/>
      <c r="N66" s="132"/>
      <c r="AC66" s="12"/>
      <c r="AD66" s="12"/>
      <c r="AE66" s="12"/>
      <c r="AG66" s="12"/>
      <c r="AI66" s="12"/>
      <c r="AJ66" s="12"/>
      <c r="AK66" s="12"/>
      <c r="AL66" s="12"/>
      <c r="AM66" s="12"/>
      <c r="AN66" s="12"/>
      <c r="AO66" s="12"/>
    </row>
    <row r="67" spans="1:41" ht="16.5" hidden="1" customHeight="1">
      <c r="B67" s="162"/>
      <c r="C67" s="129"/>
      <c r="D67" s="14"/>
      <c r="E67" s="14"/>
      <c r="F67" s="14"/>
      <c r="G67" s="14"/>
      <c r="H67" s="14"/>
      <c r="I67" s="194"/>
      <c r="P67" s="278">
        <f>'OLD back'!K30+'OLD front'!D21</f>
        <v>0</v>
      </c>
      <c r="Q67" s="278"/>
      <c r="AC67" s="12">
        <v>51600</v>
      </c>
      <c r="AD67" s="12">
        <f>E12</f>
        <v>0</v>
      </c>
      <c r="AE67" s="12">
        <f>IF(E12=AF67,AG67, IF(E12=AH67,AI67, IF(E12=AJ67,AK67, IF(E12=AL67,AM67, IF(E12=AN67,AO67, 0)))))</f>
        <v>0</v>
      </c>
      <c r="AF67" s="276" t="s">
        <v>26</v>
      </c>
      <c r="AG67" s="12">
        <v>6200</v>
      </c>
      <c r="AH67" s="276" t="s">
        <v>30</v>
      </c>
      <c r="AI67" s="12">
        <v>3800</v>
      </c>
      <c r="AJ67" s="12" t="s">
        <v>34</v>
      </c>
      <c r="AK67" s="12">
        <v>3100</v>
      </c>
      <c r="AL67" s="12" t="s">
        <v>37</v>
      </c>
      <c r="AM67" s="12">
        <v>2200</v>
      </c>
      <c r="AN67" s="12" t="s">
        <v>39</v>
      </c>
      <c r="AO67" s="12">
        <v>700</v>
      </c>
    </row>
    <row r="68" spans="1:41" ht="16.5" hidden="1" customHeight="1">
      <c r="B68" s="184"/>
      <c r="C68" s="184"/>
      <c r="D68" s="196"/>
      <c r="E68" s="194"/>
      <c r="F68" s="194"/>
      <c r="G68" s="194"/>
      <c r="H68" s="194"/>
      <c r="I68" s="194"/>
      <c r="O68" s="385">
        <v>11</v>
      </c>
      <c r="AC68" s="12">
        <v>54000</v>
      </c>
      <c r="AD68" s="12">
        <f>E12</f>
        <v>0</v>
      </c>
      <c r="AE68" s="12">
        <f>IF(E12=AF68,AG68, IF(E12=AH68,AI68, IF(E12=AJ68,AK68, IF(E12=AL68,AM68, IF(E12=AN68,AO68, 0)))))</f>
        <v>0</v>
      </c>
      <c r="AF68" s="276" t="s">
        <v>26</v>
      </c>
      <c r="AG68" s="12">
        <v>6800</v>
      </c>
      <c r="AH68" s="276" t="s">
        <v>30</v>
      </c>
      <c r="AI68" s="12">
        <v>4100</v>
      </c>
      <c r="AJ68" s="12" t="s">
        <v>34</v>
      </c>
      <c r="AK68" s="12">
        <v>3200</v>
      </c>
      <c r="AL68" s="12" t="s">
        <v>37</v>
      </c>
      <c r="AM68" s="12">
        <v>2200</v>
      </c>
      <c r="AN68" s="12" t="s">
        <v>39</v>
      </c>
      <c r="AO68" s="12">
        <v>750</v>
      </c>
    </row>
    <row r="69" spans="1:41" ht="16.5" hidden="1" customHeight="1">
      <c r="I69" s="194"/>
      <c r="O69" s="385">
        <v>12</v>
      </c>
      <c r="AC69" s="12">
        <v>55500</v>
      </c>
      <c r="AD69" s="12">
        <f>E12</f>
        <v>0</v>
      </c>
      <c r="AE69" s="12">
        <f>IF(E12=AF69,AG69, IF(E12=AH69,AI69, IF(E12=AJ69,AK69, IF(E12=AL69,AM69, IF(E12=AN69,AO69, 0)))))</f>
        <v>0</v>
      </c>
      <c r="AF69" s="276" t="s">
        <v>26</v>
      </c>
      <c r="AG69" s="12">
        <v>7300</v>
      </c>
      <c r="AH69" s="276" t="s">
        <v>30</v>
      </c>
      <c r="AI69" s="12">
        <v>4300</v>
      </c>
      <c r="AJ69" s="12" t="s">
        <v>34</v>
      </c>
      <c r="AK69" s="12">
        <v>3200</v>
      </c>
      <c r="AL69" s="12" t="s">
        <v>37</v>
      </c>
      <c r="AM69" s="12">
        <v>2200</v>
      </c>
      <c r="AN69" s="12" t="s">
        <v>39</v>
      </c>
      <c r="AO69" s="12">
        <v>800</v>
      </c>
    </row>
    <row r="70" spans="1:41" ht="16.5" hidden="1" customHeight="1">
      <c r="I70" s="194"/>
      <c r="AC70" s="12"/>
      <c r="AD70" s="12"/>
      <c r="AE70" s="12"/>
      <c r="AF70" s="276" t="s">
        <v>26</v>
      </c>
      <c r="AG70" s="12"/>
      <c r="AH70" s="276" t="s">
        <v>30</v>
      </c>
      <c r="AI70" s="12"/>
      <c r="AJ70" s="12"/>
      <c r="AK70" s="12"/>
      <c r="AL70" s="12"/>
      <c r="AM70" s="12"/>
      <c r="AN70" s="12"/>
      <c r="AO70" s="12"/>
    </row>
    <row r="71" spans="1:41" ht="16.5" hidden="1" customHeight="1">
      <c r="I71" s="194"/>
      <c r="AC71" s="12"/>
      <c r="AD71" s="12"/>
      <c r="AE71" s="12"/>
      <c r="AF71" s="276" t="s">
        <v>26</v>
      </c>
      <c r="AG71" s="12"/>
      <c r="AH71" s="276" t="s">
        <v>30</v>
      </c>
      <c r="AI71" s="12"/>
      <c r="AJ71" s="12"/>
      <c r="AK71" s="12"/>
      <c r="AL71" s="12"/>
      <c r="AM71" s="12"/>
      <c r="AN71" s="12"/>
      <c r="AO71" s="12"/>
    </row>
    <row r="72" spans="1:41" ht="16.5" hidden="1" customHeight="1">
      <c r="B72" s="190"/>
      <c r="C72" s="201"/>
      <c r="D72" s="201"/>
      <c r="E72" s="201"/>
      <c r="F72" s="201"/>
      <c r="G72" s="201"/>
      <c r="H72" s="184"/>
      <c r="I72" s="184"/>
      <c r="L72" s="200"/>
      <c r="M72" s="200"/>
      <c r="N72" s="191"/>
      <c r="AC72" s="12"/>
      <c r="AD72" s="12"/>
      <c r="AE72" s="12"/>
      <c r="AG72" s="12"/>
      <c r="AI72" s="12"/>
      <c r="AJ72" s="12"/>
      <c r="AK72" s="12"/>
      <c r="AL72" s="12"/>
      <c r="AM72" s="12"/>
      <c r="AN72" s="12"/>
      <c r="AO72" s="12"/>
    </row>
    <row r="73" spans="1:41" s="385" customFormat="1" ht="6" customHeight="1">
      <c r="A73" s="384"/>
      <c r="B73" s="404"/>
      <c r="C73" s="405"/>
      <c r="D73" s="405"/>
      <c r="E73" s="405"/>
      <c r="F73" s="405"/>
      <c r="G73" s="405"/>
      <c r="H73" s="406"/>
      <c r="I73" s="406"/>
      <c r="J73" s="384"/>
      <c r="K73" s="384"/>
      <c r="L73" s="384"/>
      <c r="M73" s="384"/>
      <c r="N73" s="384"/>
      <c r="AC73" s="399"/>
      <c r="AD73" s="399"/>
      <c r="AE73" s="399"/>
      <c r="AG73" s="399"/>
      <c r="AI73" s="399"/>
      <c r="AJ73" s="399"/>
      <c r="AK73" s="399"/>
      <c r="AL73" s="399"/>
      <c r="AM73" s="399"/>
      <c r="AN73" s="399"/>
      <c r="AO73" s="399"/>
    </row>
    <row r="74" spans="1:41" ht="16.5" customHeight="1">
      <c r="B74" s="528" t="s">
        <v>122</v>
      </c>
      <c r="C74" s="528"/>
      <c r="D74" s="528"/>
      <c r="E74" s="528"/>
      <c r="F74" s="528"/>
      <c r="G74" s="528"/>
      <c r="H74" s="528"/>
      <c r="I74" s="528"/>
      <c r="J74" s="528"/>
      <c r="K74" s="528"/>
      <c r="L74" s="528"/>
      <c r="M74" s="528"/>
      <c r="N74" s="528"/>
      <c r="AC74" s="12"/>
      <c r="AD74" s="12"/>
      <c r="AE74" s="12"/>
      <c r="AG74" s="12"/>
      <c r="AI74" s="12"/>
      <c r="AJ74" s="12"/>
      <c r="AK74" s="12"/>
      <c r="AL74" s="12"/>
      <c r="AM74" s="12"/>
      <c r="AN74" s="12"/>
      <c r="AO74" s="12"/>
    </row>
    <row r="75" spans="1:41" ht="19.5" customHeight="1">
      <c r="B75" s="542" t="s">
        <v>123</v>
      </c>
      <c r="C75" s="542"/>
      <c r="D75" s="542"/>
      <c r="E75" s="542"/>
      <c r="F75" s="542"/>
      <c r="G75" s="542"/>
      <c r="H75" s="542"/>
      <c r="I75" s="542"/>
      <c r="J75" s="384"/>
      <c r="K75" s="540" t="s">
        <v>124</v>
      </c>
      <c r="L75" s="541"/>
      <c r="M75" s="541"/>
      <c r="N75" s="541"/>
      <c r="AC75" s="12"/>
      <c r="AD75" s="12"/>
      <c r="AE75" s="12"/>
      <c r="AG75" s="12"/>
      <c r="AI75" s="12"/>
      <c r="AJ75" s="12"/>
      <c r="AK75" s="12"/>
      <c r="AL75" s="12"/>
      <c r="AM75" s="12"/>
      <c r="AN75" s="12"/>
      <c r="AO75" s="12"/>
    </row>
    <row r="76" spans="1:41" ht="19.5" customHeight="1">
      <c r="B76" s="545" t="s">
        <v>125</v>
      </c>
      <c r="C76" s="546"/>
      <c r="D76" s="449" t="s">
        <v>126</v>
      </c>
      <c r="E76" s="493"/>
      <c r="F76" s="514" t="s">
        <v>125</v>
      </c>
      <c r="G76" s="515"/>
      <c r="H76" s="516"/>
      <c r="I76" s="236" t="s">
        <v>126</v>
      </c>
      <c r="J76" s="384"/>
      <c r="K76" s="533" t="s">
        <v>127</v>
      </c>
      <c r="L76" s="536"/>
      <c r="M76" s="449" t="s">
        <v>128</v>
      </c>
      <c r="N76" s="449" t="s">
        <v>129</v>
      </c>
      <c r="AC76" s="12">
        <v>56900</v>
      </c>
      <c r="AD76" s="12">
        <f>E12</f>
        <v>0</v>
      </c>
      <c r="AE76" s="12">
        <f>IF(E12=AF76,AG76, IF(E12=AH76,AI76, IF(E12=AJ76,AK76, IF(E12=AL76,AM76, IF(E12=AN76,AO76, 0)))))</f>
        <v>0</v>
      </c>
      <c r="AF76" s="276" t="s">
        <v>26</v>
      </c>
      <c r="AG76" s="12">
        <v>7500</v>
      </c>
      <c r="AH76" s="276" t="s">
        <v>30</v>
      </c>
      <c r="AI76" s="12">
        <v>4300</v>
      </c>
      <c r="AJ76" s="12" t="s">
        <v>34</v>
      </c>
      <c r="AK76" s="12">
        <v>3200</v>
      </c>
      <c r="AL76" s="12" t="s">
        <v>37</v>
      </c>
      <c r="AM76" s="12">
        <v>2200</v>
      </c>
      <c r="AN76" s="12" t="s">
        <v>39</v>
      </c>
      <c r="AO76" s="12">
        <v>850</v>
      </c>
    </row>
    <row r="77" spans="1:41" ht="17.25" customHeight="1">
      <c r="B77" s="486"/>
      <c r="C77" s="487"/>
      <c r="D77" s="451"/>
      <c r="E77" s="493"/>
      <c r="F77" s="486"/>
      <c r="G77" s="491"/>
      <c r="H77" s="487"/>
      <c r="I77" s="430"/>
      <c r="J77" s="384"/>
      <c r="K77" s="494"/>
      <c r="L77" s="537"/>
      <c r="M77" s="451"/>
      <c r="N77" s="451"/>
      <c r="AC77" s="12">
        <v>64200</v>
      </c>
      <c r="AD77" s="12">
        <f>E12</f>
        <v>0</v>
      </c>
      <c r="AE77" s="12">
        <f>IF(E12=AF77,AG77, IF(E12=AH77,AI77, IF(E12=AJ77,AK77, IF(E12=AL77,AM77, IF(E12=AN77,AO77, 0)))))</f>
        <v>0</v>
      </c>
      <c r="AF77" s="276" t="s">
        <v>26</v>
      </c>
      <c r="AG77" s="12">
        <v>7800</v>
      </c>
      <c r="AH77" s="276" t="s">
        <v>30</v>
      </c>
      <c r="AI77" s="12">
        <v>4300</v>
      </c>
      <c r="AJ77" s="12" t="s">
        <v>34</v>
      </c>
      <c r="AK77" s="12">
        <v>3200</v>
      </c>
      <c r="AL77" s="12" t="s">
        <v>37</v>
      </c>
      <c r="AM77" s="12">
        <v>2200</v>
      </c>
      <c r="AN77" s="12" t="s">
        <v>39</v>
      </c>
      <c r="AO77" s="12">
        <v>850</v>
      </c>
    </row>
    <row r="78" spans="1:41" ht="17.25" customHeight="1">
      <c r="B78" s="486"/>
      <c r="C78" s="487"/>
      <c r="D78" s="451"/>
      <c r="E78" s="493"/>
      <c r="F78" s="486"/>
      <c r="G78" s="491"/>
      <c r="H78" s="487"/>
      <c r="I78" s="430"/>
      <c r="J78" s="384"/>
      <c r="K78" s="494"/>
      <c r="L78" s="537"/>
      <c r="M78" s="451"/>
      <c r="N78" s="451"/>
      <c r="AC78" s="12"/>
      <c r="AD78" s="12"/>
      <c r="AE78" s="12"/>
      <c r="AF78" s="276" t="s">
        <v>26</v>
      </c>
      <c r="AG78" s="12"/>
      <c r="AH78" s="276" t="s">
        <v>30</v>
      </c>
      <c r="AI78" s="12"/>
      <c r="AJ78" s="12"/>
      <c r="AK78" s="12"/>
      <c r="AL78" s="12"/>
      <c r="AM78" s="12"/>
      <c r="AN78" s="12"/>
      <c r="AO78" s="12"/>
    </row>
    <row r="79" spans="1:41" ht="17.25" customHeight="1">
      <c r="B79" s="486"/>
      <c r="C79" s="487"/>
      <c r="D79" s="451"/>
      <c r="E79" s="493"/>
      <c r="F79" s="486"/>
      <c r="G79" s="491"/>
      <c r="H79" s="487"/>
      <c r="I79" s="430"/>
      <c r="J79" s="384"/>
      <c r="K79" s="494"/>
      <c r="L79" s="537"/>
      <c r="M79" s="451"/>
      <c r="N79" s="451"/>
      <c r="AC79" s="12"/>
      <c r="AD79" s="12"/>
      <c r="AE79" s="12"/>
      <c r="AF79" s="276" t="s">
        <v>26</v>
      </c>
      <c r="AG79" s="12"/>
      <c r="AH79" s="276" t="s">
        <v>30</v>
      </c>
      <c r="AI79" s="12"/>
      <c r="AJ79" s="12"/>
      <c r="AK79" s="12"/>
      <c r="AL79" s="12"/>
      <c r="AM79" s="12"/>
      <c r="AN79" s="12"/>
      <c r="AO79" s="12"/>
    </row>
    <row r="80" spans="1:41" ht="17.25" hidden="1" customHeight="1">
      <c r="B80" s="486"/>
      <c r="C80" s="487"/>
      <c r="D80" s="451"/>
      <c r="E80" s="493"/>
      <c r="F80" s="486"/>
      <c r="G80" s="491"/>
      <c r="H80" s="487"/>
      <c r="I80" s="430"/>
      <c r="J80" s="384"/>
      <c r="K80" s="538"/>
      <c r="L80" s="539"/>
      <c r="M80" s="452"/>
      <c r="N80" s="452"/>
      <c r="AC80" s="12">
        <v>64201</v>
      </c>
      <c r="AD80" s="12">
        <f>E12</f>
        <v>0</v>
      </c>
      <c r="AE80" s="12">
        <f>IF(E12=AF80,AG80, IF(E12=AH80,AI80, IF(E12=AJ80,AK80, IF(E12=AL80,AM80, IF(E12=AN80,AO80, 0)))))</f>
        <v>0</v>
      </c>
      <c r="AF80" s="276" t="s">
        <v>26</v>
      </c>
      <c r="AG80" s="12">
        <v>8300</v>
      </c>
      <c r="AH80" s="276" t="s">
        <v>30</v>
      </c>
      <c r="AI80" s="12">
        <v>4300</v>
      </c>
      <c r="AJ80" s="12" t="s">
        <v>34</v>
      </c>
      <c r="AK80" s="12">
        <v>3200</v>
      </c>
      <c r="AL80" s="12" t="s">
        <v>37</v>
      </c>
      <c r="AM80" s="12">
        <v>2200</v>
      </c>
      <c r="AN80" s="12" t="s">
        <v>39</v>
      </c>
      <c r="AO80" s="12">
        <v>850</v>
      </c>
    </row>
    <row r="81" spans="1:41" ht="17.25" hidden="1" customHeight="1">
      <c r="B81" s="486"/>
      <c r="C81" s="487"/>
      <c r="D81" s="451"/>
      <c r="E81" s="493"/>
      <c r="F81" s="486"/>
      <c r="G81" s="491"/>
      <c r="H81" s="487"/>
      <c r="I81" s="430"/>
      <c r="J81" s="384"/>
      <c r="K81" s="534"/>
      <c r="L81" s="535"/>
      <c r="M81" s="450"/>
      <c r="N81" s="232"/>
      <c r="AC81" s="12"/>
      <c r="AD81" s="12"/>
      <c r="AE81" s="12"/>
      <c r="AG81" s="12"/>
      <c r="AI81" s="12"/>
      <c r="AJ81" s="12"/>
      <c r="AK81" s="12"/>
      <c r="AL81" s="12"/>
      <c r="AM81" s="12"/>
      <c r="AN81" s="12"/>
      <c r="AO81" s="12"/>
    </row>
    <row r="82" spans="1:41" ht="17.25" customHeight="1">
      <c r="B82" s="486"/>
      <c r="C82" s="487"/>
      <c r="D82" s="451"/>
      <c r="E82" s="493"/>
      <c r="F82" s="486"/>
      <c r="G82" s="491"/>
      <c r="H82" s="487"/>
      <c r="I82" s="428"/>
      <c r="J82" s="384"/>
      <c r="K82" s="533" t="s">
        <v>127</v>
      </c>
      <c r="L82" s="533"/>
      <c r="M82" s="449" t="s">
        <v>128</v>
      </c>
      <c r="N82" s="237" t="s">
        <v>130</v>
      </c>
      <c r="AC82" s="12"/>
      <c r="AD82" s="12"/>
      <c r="AE82" s="12"/>
      <c r="AG82" s="12"/>
      <c r="AI82" s="12"/>
      <c r="AJ82" s="12"/>
      <c r="AK82" s="12"/>
      <c r="AL82" s="12"/>
      <c r="AM82" s="12"/>
      <c r="AN82" s="12"/>
      <c r="AO82" s="12"/>
    </row>
    <row r="83" spans="1:41" ht="15.75" customHeight="1">
      <c r="B83" s="486"/>
      <c r="C83" s="487"/>
      <c r="D83" s="451"/>
      <c r="E83" s="493"/>
      <c r="F83" s="486"/>
      <c r="G83" s="491"/>
      <c r="H83" s="487"/>
      <c r="I83" s="428"/>
      <c r="J83" s="384"/>
      <c r="K83" s="494"/>
      <c r="L83" s="494"/>
      <c r="M83" s="451"/>
      <c r="N83" s="451"/>
      <c r="AC83" s="12"/>
      <c r="AD83" s="12"/>
      <c r="AE83" s="12"/>
      <c r="AG83" s="12"/>
      <c r="AI83" s="12"/>
      <c r="AJ83" s="12"/>
      <c r="AK83" s="12"/>
      <c r="AL83" s="12"/>
      <c r="AM83" s="12"/>
      <c r="AN83" s="12"/>
      <c r="AO83" s="12"/>
    </row>
    <row r="84" spans="1:41" ht="15.75" customHeight="1">
      <c r="B84" s="486"/>
      <c r="C84" s="487"/>
      <c r="D84" s="451"/>
      <c r="E84" s="493"/>
      <c r="F84" s="486"/>
      <c r="G84" s="491"/>
      <c r="H84" s="487"/>
      <c r="I84" s="428"/>
      <c r="J84" s="384"/>
      <c r="K84" s="494"/>
      <c r="L84" s="494"/>
      <c r="M84" s="451"/>
      <c r="N84" s="451"/>
      <c r="AC84" s="12"/>
      <c r="AD84" s="12"/>
      <c r="AE84" s="12"/>
      <c r="AG84" s="12"/>
      <c r="AI84" s="12"/>
      <c r="AJ84" s="12"/>
      <c r="AK84" s="12"/>
      <c r="AL84" s="12"/>
      <c r="AM84" s="12"/>
      <c r="AN84" s="12"/>
      <c r="AO84" s="12"/>
    </row>
    <row r="85" spans="1:41" ht="15.75" customHeight="1">
      <c r="B85" s="486"/>
      <c r="C85" s="487"/>
      <c r="D85" s="451"/>
      <c r="E85" s="493"/>
      <c r="F85" s="486"/>
      <c r="G85" s="491"/>
      <c r="H85" s="487"/>
      <c r="I85" s="428"/>
      <c r="J85" s="384"/>
      <c r="K85" s="494"/>
      <c r="L85" s="494"/>
      <c r="M85" s="451"/>
      <c r="N85" s="451"/>
      <c r="AC85" s="12"/>
      <c r="AD85" s="12"/>
      <c r="AE85" s="12"/>
      <c r="AG85" s="12"/>
      <c r="AI85" s="12"/>
      <c r="AJ85" s="12"/>
      <c r="AK85" s="12"/>
      <c r="AL85" s="12"/>
      <c r="AM85" s="12"/>
      <c r="AN85" s="12"/>
      <c r="AO85" s="12"/>
    </row>
    <row r="86" spans="1:41" ht="16.5" hidden="1" customHeight="1">
      <c r="B86" s="428"/>
      <c r="C86" s="429"/>
      <c r="D86" s="451"/>
      <c r="E86" s="493"/>
      <c r="F86" s="486"/>
      <c r="G86" s="487"/>
      <c r="H86" s="429"/>
      <c r="I86" s="428"/>
      <c r="J86" s="384"/>
      <c r="K86" s="131"/>
      <c r="L86" s="131"/>
      <c r="M86" s="131"/>
      <c r="N86" s="131"/>
      <c r="AC86" s="12"/>
      <c r="AD86" s="12"/>
      <c r="AE86" s="12"/>
      <c r="AG86" s="12"/>
      <c r="AI86" s="12"/>
      <c r="AJ86" s="12"/>
      <c r="AK86" s="12"/>
      <c r="AL86" s="12"/>
      <c r="AM86" s="12"/>
      <c r="AN86" s="12"/>
      <c r="AO86" s="12"/>
    </row>
    <row r="87" spans="1:41" ht="16.5" hidden="1" customHeight="1">
      <c r="B87" s="428"/>
      <c r="C87" s="429"/>
      <c r="D87" s="451"/>
      <c r="E87" s="493"/>
      <c r="F87" s="486"/>
      <c r="G87" s="487"/>
      <c r="H87" s="429"/>
      <c r="I87" s="428"/>
      <c r="J87" s="384"/>
      <c r="K87" s="454"/>
      <c r="L87" s="136"/>
      <c r="M87" s="454"/>
      <c r="N87" s="454"/>
      <c r="AC87" s="12"/>
      <c r="AD87" s="12"/>
      <c r="AE87" s="12"/>
      <c r="AF87" s="12"/>
      <c r="AG87" s="12"/>
      <c r="AI87" s="12"/>
      <c r="AJ87" s="12"/>
      <c r="AK87" s="12"/>
      <c r="AL87" s="12"/>
      <c r="AM87" s="12"/>
      <c r="AN87" s="12"/>
      <c r="AO87" s="12"/>
    </row>
    <row r="88" spans="1:41" ht="16.5" hidden="1" customHeight="1">
      <c r="B88" s="428"/>
      <c r="C88" s="429"/>
      <c r="D88" s="451"/>
      <c r="E88" s="493"/>
      <c r="F88" s="486"/>
      <c r="G88" s="487"/>
      <c r="H88" s="429"/>
      <c r="I88" s="428"/>
      <c r="J88" s="384"/>
      <c r="K88" s="495"/>
      <c r="L88" s="496"/>
      <c r="M88" s="454"/>
      <c r="N88" s="454"/>
      <c r="AC88" s="12"/>
      <c r="AD88" s="12"/>
      <c r="AE88" s="12"/>
      <c r="AF88" s="12"/>
      <c r="AG88" s="12"/>
      <c r="AI88" s="12"/>
      <c r="AJ88" s="12"/>
      <c r="AK88" s="12"/>
      <c r="AL88" s="12"/>
      <c r="AM88" s="12"/>
      <c r="AN88" s="12"/>
      <c r="AO88" s="12"/>
    </row>
    <row r="89" spans="1:41" ht="17.25" customHeight="1">
      <c r="B89" s="486"/>
      <c r="C89" s="487"/>
      <c r="D89" s="451"/>
      <c r="E89" s="493"/>
      <c r="F89" s="486"/>
      <c r="G89" s="491"/>
      <c r="H89" s="487"/>
      <c r="I89" s="428"/>
      <c r="J89" s="384"/>
      <c r="K89" s="384"/>
      <c r="L89" s="384"/>
      <c r="M89" s="384"/>
      <c r="N89" s="384"/>
      <c r="AC89" s="12"/>
      <c r="AD89" s="12"/>
      <c r="AE89" s="12"/>
      <c r="AF89" s="12"/>
      <c r="AG89" s="12"/>
      <c r="AI89" s="12"/>
      <c r="AJ89" s="12"/>
      <c r="AK89" s="12"/>
      <c r="AL89" s="12"/>
      <c r="AM89" s="12"/>
      <c r="AN89" s="12"/>
      <c r="AO89" s="12"/>
    </row>
    <row r="90" spans="1:41" ht="4.5" customHeight="1" thickBot="1">
      <c r="B90" s="407"/>
      <c r="C90" s="408"/>
      <c r="D90" s="409"/>
      <c r="E90" s="410"/>
      <c r="F90" s="409"/>
      <c r="G90" s="409"/>
      <c r="H90" s="408"/>
      <c r="I90" s="407"/>
      <c r="J90" s="384"/>
      <c r="K90" s="384"/>
      <c r="L90" s="384"/>
      <c r="M90" s="384"/>
      <c r="N90" s="384"/>
      <c r="AC90" s="12"/>
      <c r="AD90" s="12"/>
      <c r="AE90" s="12"/>
      <c r="AF90" s="12"/>
      <c r="AG90" s="12"/>
      <c r="AI90" s="12"/>
      <c r="AJ90" s="12"/>
      <c r="AK90" s="12"/>
      <c r="AL90" s="12"/>
      <c r="AM90" s="12"/>
      <c r="AN90" s="12"/>
      <c r="AO90" s="12"/>
    </row>
    <row r="91" spans="1:41" ht="19.5" customHeight="1" thickBot="1">
      <c r="B91" s="542" t="s">
        <v>131</v>
      </c>
      <c r="C91" s="542"/>
      <c r="D91" s="542"/>
      <c r="E91" s="542"/>
      <c r="F91" s="542"/>
      <c r="G91" s="542"/>
      <c r="H91" s="542"/>
      <c r="I91" s="407"/>
      <c r="J91" s="384"/>
      <c r="K91" s="488" t="s">
        <v>132</v>
      </c>
      <c r="L91" s="489"/>
      <c r="M91" s="489"/>
      <c r="N91" s="490"/>
      <c r="AC91" s="12"/>
      <c r="AD91" s="12"/>
      <c r="AE91" s="12"/>
      <c r="AF91" s="12"/>
      <c r="AG91" s="12"/>
      <c r="AI91" s="12"/>
      <c r="AJ91" s="12"/>
      <c r="AK91" s="12"/>
      <c r="AL91" s="12"/>
      <c r="AM91" s="12"/>
      <c r="AN91" s="12"/>
      <c r="AO91" s="12"/>
    </row>
    <row r="92" spans="1:41" ht="19.5" customHeight="1" thickBot="1">
      <c r="B92" s="233" t="s">
        <v>133</v>
      </c>
      <c r="C92" s="555" t="s">
        <v>134</v>
      </c>
      <c r="D92" s="555"/>
      <c r="E92" s="555"/>
      <c r="F92" s="234" t="s">
        <v>135</v>
      </c>
      <c r="G92" s="235" t="s">
        <v>136</v>
      </c>
      <c r="H92" s="234" t="s">
        <v>137</v>
      </c>
      <c r="I92" s="407"/>
      <c r="J92" s="384"/>
      <c r="K92" s="543" t="s">
        <v>138</v>
      </c>
      <c r="L92" s="544"/>
      <c r="M92" s="484" t="s">
        <v>139</v>
      </c>
      <c r="N92" s="485"/>
      <c r="AC92" s="12"/>
      <c r="AD92" s="12"/>
      <c r="AE92" s="12"/>
      <c r="AF92" s="12"/>
      <c r="AG92" s="12"/>
      <c r="AI92" s="12"/>
      <c r="AJ92" s="12"/>
      <c r="AK92" s="12"/>
      <c r="AL92" s="12"/>
      <c r="AM92" s="12"/>
      <c r="AN92" s="12"/>
      <c r="AO92" s="12"/>
    </row>
    <row r="93" spans="1:41" ht="19.5" customHeight="1">
      <c r="B93" s="431"/>
      <c r="C93" s="492"/>
      <c r="D93" s="492"/>
      <c r="E93" s="492"/>
      <c r="F93" s="451"/>
      <c r="G93" s="428"/>
      <c r="H93" s="431"/>
      <c r="I93" s="407"/>
      <c r="J93" s="384"/>
      <c r="K93" s="547">
        <f>'OLD front'!E63+'OLD front'!E64-'OLD front'!E62</f>
        <v>0</v>
      </c>
      <c r="L93" s="548"/>
      <c r="M93" s="551">
        <f>'NEW front'!Q27+'NEW front'!Q28-'NEW front'!Q26</f>
        <v>0</v>
      </c>
      <c r="N93" s="552"/>
      <c r="AC93" s="12"/>
      <c r="AD93" s="12"/>
      <c r="AE93" s="12"/>
      <c r="AF93" s="12"/>
      <c r="AG93" s="12"/>
      <c r="AI93" s="12"/>
      <c r="AJ93" s="12"/>
      <c r="AK93" s="12"/>
      <c r="AL93" s="12"/>
      <c r="AM93" s="12"/>
      <c r="AN93" s="12"/>
      <c r="AO93" s="12"/>
    </row>
    <row r="94" spans="1:41" ht="19.5" customHeight="1" thickBot="1">
      <c r="B94" s="431"/>
      <c r="C94" s="492"/>
      <c r="D94" s="492"/>
      <c r="E94" s="492"/>
      <c r="F94" s="451"/>
      <c r="G94" s="428"/>
      <c r="H94" s="431"/>
      <c r="I94" s="384"/>
      <c r="J94" s="384"/>
      <c r="K94" s="549"/>
      <c r="L94" s="550"/>
      <c r="M94" s="553"/>
      <c r="N94" s="554"/>
    </row>
    <row r="95" spans="1:41" s="385" customFormat="1" ht="5.25" customHeight="1">
      <c r="A95" s="384"/>
      <c r="B95" s="384"/>
      <c r="C95" s="384"/>
      <c r="D95" s="384"/>
      <c r="E95" s="384"/>
      <c r="F95" s="384"/>
      <c r="G95" s="384"/>
      <c r="H95" s="384"/>
      <c r="I95" s="384"/>
      <c r="J95" s="384"/>
      <c r="K95" s="384"/>
      <c r="L95" s="384"/>
      <c r="M95" s="384"/>
      <c r="N95" s="384"/>
    </row>
    <row r="96" spans="1:41" ht="4.5" hidden="1" customHeight="1">
      <c r="B96" s="184"/>
      <c r="C96" s="184"/>
      <c r="D96" s="184"/>
      <c r="E96" s="184"/>
      <c r="F96" s="184"/>
      <c r="G96" s="184"/>
      <c r="H96" s="184"/>
      <c r="I96" s="184"/>
      <c r="J96" s="185"/>
      <c r="K96" s="185"/>
      <c r="L96" s="185"/>
      <c r="M96" s="185"/>
      <c r="N96" s="185"/>
    </row>
    <row r="97" spans="2:14" ht="7.5" hidden="1" customHeight="1">
      <c r="B97" s="184"/>
      <c r="C97" s="184"/>
      <c r="D97" s="184"/>
      <c r="E97" s="184"/>
      <c r="F97" s="184"/>
      <c r="G97" s="184"/>
      <c r="H97" s="184"/>
      <c r="I97" s="184"/>
      <c r="J97" s="185"/>
      <c r="K97" s="185"/>
      <c r="L97" s="185"/>
      <c r="M97" s="185"/>
      <c r="N97" s="185"/>
    </row>
    <row r="98" spans="2:14" ht="15" hidden="1" customHeight="1">
      <c r="J98" s="10"/>
      <c r="K98" s="10"/>
      <c r="L98" s="10"/>
      <c r="M98" s="10"/>
      <c r="N98" s="10"/>
    </row>
    <row r="99" spans="2:14" hidden="1">
      <c r="F99" s="137"/>
      <c r="J99" s="10"/>
      <c r="K99" s="10"/>
      <c r="L99" s="10"/>
      <c r="M99" s="10"/>
      <c r="N99" s="10"/>
    </row>
    <row r="100" spans="2:14" hidden="1">
      <c r="F100" s="137"/>
      <c r="I100" s="8">
        <v>50402</v>
      </c>
      <c r="J100" s="8">
        <f>ROUNDUP(I100,-2)</f>
        <v>50500</v>
      </c>
      <c r="K100" s="10"/>
      <c r="L100" s="10"/>
      <c r="M100" s="10"/>
      <c r="N100" s="10"/>
    </row>
    <row r="101" spans="2:14" hidden="1">
      <c r="B101" s="526" t="s">
        <v>140</v>
      </c>
      <c r="C101" s="527"/>
      <c r="D101" s="11"/>
      <c r="J101" s="10"/>
      <c r="K101" s="10"/>
      <c r="L101" s="10"/>
      <c r="M101" s="10"/>
      <c r="N101" s="10"/>
    </row>
    <row r="102" spans="2:14" hidden="1">
      <c r="J102" s="10"/>
      <c r="K102" s="10"/>
      <c r="L102" s="10"/>
      <c r="M102" s="10"/>
      <c r="N102" s="10"/>
    </row>
    <row r="103" spans="2:14" hidden="1">
      <c r="J103" s="10"/>
      <c r="K103" s="10"/>
      <c r="L103" s="10"/>
      <c r="M103" s="10"/>
      <c r="N103" s="10"/>
    </row>
    <row r="104" spans="2:14" hidden="1">
      <c r="J104" s="10"/>
      <c r="K104" s="10"/>
      <c r="L104" s="10"/>
      <c r="M104" s="10"/>
      <c r="N104" s="10"/>
    </row>
    <row r="105" spans="2:14" hidden="1">
      <c r="J105" s="10"/>
      <c r="K105" s="10"/>
      <c r="L105" s="10"/>
      <c r="M105" s="10"/>
      <c r="N105" s="10"/>
    </row>
    <row r="106" spans="2:14" hidden="1">
      <c r="J106" s="10"/>
      <c r="K106" s="10"/>
      <c r="L106" s="10"/>
      <c r="M106" s="10"/>
      <c r="N106" s="10"/>
    </row>
    <row r="107" spans="2:14" hidden="1">
      <c r="J107" s="10"/>
      <c r="K107" s="10"/>
      <c r="L107" s="10"/>
      <c r="M107" s="10"/>
      <c r="N107" s="10"/>
    </row>
  </sheetData>
  <sheetProtection password="DD74" sheet="1" objects="1" scenarios="1" selectLockedCells="1"/>
  <mergeCells count="122">
    <mergeCell ref="R7:V7"/>
    <mergeCell ref="R4:V4"/>
    <mergeCell ref="B51:D51"/>
    <mergeCell ref="B50:D50"/>
    <mergeCell ref="I4:M4"/>
    <mergeCell ref="N2:N4"/>
    <mergeCell ref="I21:I22"/>
    <mergeCell ref="E19:G19"/>
    <mergeCell ref="I11:N12"/>
    <mergeCell ref="I2:M3"/>
    <mergeCell ref="J21:N21"/>
    <mergeCell ref="E10:G10"/>
    <mergeCell ref="E11:G11"/>
    <mergeCell ref="E12:G12"/>
    <mergeCell ref="E16:G16"/>
    <mergeCell ref="E14:G14"/>
    <mergeCell ref="E13:G13"/>
    <mergeCell ref="E8:G8"/>
    <mergeCell ref="B17:D17"/>
    <mergeCell ref="B16:D16"/>
    <mergeCell ref="E17:G17"/>
    <mergeCell ref="E18:G18"/>
    <mergeCell ref="B10:D10"/>
    <mergeCell ref="B11:D11"/>
    <mergeCell ref="AC14:AE14"/>
    <mergeCell ref="H21:H22"/>
    <mergeCell ref="G21:G22"/>
    <mergeCell ref="F21:F22"/>
    <mergeCell ref="E21:E22"/>
    <mergeCell ref="D21:D22"/>
    <mergeCell ref="B15:D15"/>
    <mergeCell ref="E15:G15"/>
    <mergeCell ref="B2:D2"/>
    <mergeCell ref="B3:D3"/>
    <mergeCell ref="B4:D4"/>
    <mergeCell ref="E2:G2"/>
    <mergeCell ref="E9:G9"/>
    <mergeCell ref="I5:N10"/>
    <mergeCell ref="B6:D6"/>
    <mergeCell ref="E6:G6"/>
    <mergeCell ref="B5:D5"/>
    <mergeCell ref="E5:G5"/>
    <mergeCell ref="B7:D7"/>
    <mergeCell ref="B8:D8"/>
    <mergeCell ref="B9:D9"/>
    <mergeCell ref="E3:G3"/>
    <mergeCell ref="E4:G4"/>
    <mergeCell ref="E7:G7"/>
    <mergeCell ref="B101:C101"/>
    <mergeCell ref="B74:N74"/>
    <mergeCell ref="B57:B59"/>
    <mergeCell ref="B63:D63"/>
    <mergeCell ref="B64:D64"/>
    <mergeCell ref="K82:L82"/>
    <mergeCell ref="K81:L81"/>
    <mergeCell ref="K76:L76"/>
    <mergeCell ref="K77:L77"/>
    <mergeCell ref="K78:L78"/>
    <mergeCell ref="K80:L80"/>
    <mergeCell ref="K75:N75"/>
    <mergeCell ref="K79:L79"/>
    <mergeCell ref="B75:I75"/>
    <mergeCell ref="F88:G88"/>
    <mergeCell ref="K92:L92"/>
    <mergeCell ref="B82:C82"/>
    <mergeCell ref="F87:G87"/>
    <mergeCell ref="B76:C76"/>
    <mergeCell ref="K93:L94"/>
    <mergeCell ref="M93:N94"/>
    <mergeCell ref="B91:H91"/>
    <mergeCell ref="C92:E92"/>
    <mergeCell ref="C93:E93"/>
    <mergeCell ref="J52:M52"/>
    <mergeCell ref="B33:C33"/>
    <mergeCell ref="B35:C35"/>
    <mergeCell ref="C57:C59"/>
    <mergeCell ref="B78:C78"/>
    <mergeCell ref="B79:C79"/>
    <mergeCell ref="B80:C80"/>
    <mergeCell ref="B81:C81"/>
    <mergeCell ref="F77:H77"/>
    <mergeCell ref="B77:C77"/>
    <mergeCell ref="F76:H76"/>
    <mergeCell ref="B49:D49"/>
    <mergeCell ref="B52:D52"/>
    <mergeCell ref="F78:H78"/>
    <mergeCell ref="F79:H79"/>
    <mergeCell ref="F80:H80"/>
    <mergeCell ref="F81:H81"/>
    <mergeCell ref="J50:M50"/>
    <mergeCell ref="J51:M51"/>
    <mergeCell ref="J33:J34"/>
    <mergeCell ref="K33:L33"/>
    <mergeCell ref="B37:K37"/>
    <mergeCell ref="B12:D12"/>
    <mergeCell ref="B18:D18"/>
    <mergeCell ref="M33:N33"/>
    <mergeCell ref="C21:C22"/>
    <mergeCell ref="B48:N48"/>
    <mergeCell ref="J49:M49"/>
    <mergeCell ref="B19:D19"/>
    <mergeCell ref="B21:B22"/>
    <mergeCell ref="B14:D14"/>
    <mergeCell ref="B13:D13"/>
    <mergeCell ref="M92:N92"/>
    <mergeCell ref="B83:C83"/>
    <mergeCell ref="B84:C84"/>
    <mergeCell ref="K91:N91"/>
    <mergeCell ref="F86:G86"/>
    <mergeCell ref="F82:H82"/>
    <mergeCell ref="F83:H83"/>
    <mergeCell ref="F84:H84"/>
    <mergeCell ref="C94:E94"/>
    <mergeCell ref="E76:E89"/>
    <mergeCell ref="K83:L83"/>
    <mergeCell ref="K84:L84"/>
    <mergeCell ref="K85:L85"/>
    <mergeCell ref="K88:L88"/>
    <mergeCell ref="B85:C85"/>
    <mergeCell ref="B89:C89"/>
    <mergeCell ref="F85:H85"/>
    <mergeCell ref="F89:H89"/>
  </mergeCells>
  <dataValidations count="9">
    <dataValidation type="list" allowBlank="1" showInputMessage="1" showErrorMessage="1" sqref="C60" xr:uid="{00000000-0002-0000-0000-000000000000}">
      <formula1>$AD$10:$AD$13</formula1>
    </dataValidation>
    <dataValidation type="list" allowBlank="1" showInputMessage="1" showErrorMessage="1" sqref="C57:C59" xr:uid="{00000000-0002-0000-0000-000001000000}">
      <formula1>$AD$8:$AD$9</formula1>
    </dataValidation>
    <dataValidation type="list" showInputMessage="1" showErrorMessage="1" sqref="AO12" xr:uid="{00000000-0002-0000-0000-000002000000}">
      <formula1>HRA</formula1>
    </dataValidation>
    <dataValidation type="list" allowBlank="1" showInputMessage="1" showErrorMessage="1" promptTitle="Increment" sqref="E10:G10" xr:uid="{00000000-0002-0000-0000-000003000000}">
      <formula1>$I$14:$I$18</formula1>
    </dataValidation>
    <dataValidation type="list" allowBlank="1" showInputMessage="1" showErrorMessage="1" promptTitle="1 / 2" sqref="E11:G11" xr:uid="{00000000-0002-0000-0000-000004000000}">
      <formula1>$K$14:$K$16</formula1>
    </dataValidation>
    <dataValidation type="list" allowBlank="1" showInputMessage="1" showErrorMessage="1" promptTitle="HRA AREA TYPE" sqref="E12:G12" xr:uid="{00000000-0002-0000-0000-000005000000}">
      <formula1>$J$13:$J$18</formula1>
    </dataValidation>
    <dataValidation type="list" allowBlank="1" showInputMessage="1" showErrorMessage="1" promptTitle="YES / NO" sqref="E13:G13 E19:G19" xr:uid="{00000000-0002-0000-0000-000006000000}">
      <formula1>$L$14:$L$16</formula1>
    </dataValidation>
    <dataValidation type="list" allowBlank="1" showInputMessage="1" showErrorMessage="1" sqref="E14:G16" xr:uid="{00000000-0002-0000-0000-000007000000}">
      <formula1>$L$14:$L$16</formula1>
    </dataValidation>
    <dataValidation type="list" allowBlank="1" showInputMessage="1" showErrorMessage="1" sqref="E17:G18" xr:uid="{00000000-0002-0000-0000-000008000000}">
      <formula1>$K$14:$K$16</formula1>
    </dataValidation>
  </dataValidations>
  <printOptions horizontalCentered="1"/>
  <pageMargins left="0.23" right="0.2" top="0" bottom="0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0070C0"/>
  </sheetPr>
  <dimension ref="A1:XFC79"/>
  <sheetViews>
    <sheetView showGridLines="0" showRowColHeaders="0" view="pageBreakPreview" zoomScale="90" zoomScaleSheetLayoutView="90" workbookViewId="0">
      <selection activeCell="B76" sqref="B76"/>
    </sheetView>
  </sheetViews>
  <sheetFormatPr defaultColWidth="0" defaultRowHeight="12.75" zeroHeight="1"/>
  <cols>
    <col min="1" max="1" width="7.28515625" style="49" customWidth="1"/>
    <col min="2" max="2" width="61" style="50" customWidth="1"/>
    <col min="3" max="3" width="10.140625" style="50" customWidth="1"/>
    <col min="4" max="4" width="11.140625" style="50" customWidth="1"/>
    <col min="5" max="5" width="10.85546875" style="51" customWidth="1"/>
    <col min="6" max="6" width="0.42578125" style="48" customWidth="1"/>
    <col min="7" max="10" width="8.7109375" style="249" hidden="1"/>
    <col min="11" max="13" width="0" style="249" hidden="1"/>
    <col min="14" max="16383" width="8.7109375" style="249" hidden="1"/>
    <col min="16384" max="16384" width="3.28515625" style="249" hidden="1"/>
  </cols>
  <sheetData>
    <row r="1" spans="1:21" ht="15.75">
      <c r="A1" s="602" t="str">
        <f>IF('Fill white Cells '!E6&lt;60,"INDIVIDUAL INCOME TAX STATEMENT [OLD REGIME]", IF('Fill white Cells '!E6&lt;80,"SENIOR CITIZEN INDIVIDUAL INCOME TAX STATEMENT [OLD REGIME]", "SUPER SENIOR CITIZEN INDIVIDUAL INCOME TAX STATEMENT [OLD REGIME]"))</f>
        <v>INDIVIDUAL INCOME TAX STATEMENT [OLD REGIME]</v>
      </c>
      <c r="B1" s="602"/>
      <c r="C1" s="602"/>
      <c r="D1" s="602"/>
      <c r="E1" s="602"/>
      <c r="F1" s="187"/>
    </row>
    <row r="2" spans="1:21" ht="15" customHeight="1" thickBot="1">
      <c r="A2" s="624" t="s">
        <v>141</v>
      </c>
      <c r="B2" s="624"/>
      <c r="C2" s="625" t="s">
        <v>142</v>
      </c>
      <c r="D2" s="625"/>
      <c r="E2" s="625"/>
    </row>
    <row r="3" spans="1:21" ht="18" customHeight="1">
      <c r="A3" s="186" t="str">
        <f>"Name             : "&amp; 'Fill white Cells '!E3</f>
        <v xml:space="preserve">Name             : </v>
      </c>
      <c r="B3" s="17"/>
      <c r="C3" s="17" t="s">
        <v>143</v>
      </c>
      <c r="D3" s="616" t="str">
        <f>F3 &amp; 'Fill white Cells '!E9</f>
        <v xml:space="preserve"> : </v>
      </c>
      <c r="E3" s="617"/>
      <c r="F3" s="48" t="s">
        <v>144</v>
      </c>
    </row>
    <row r="4" spans="1:21" ht="18" customHeight="1" thickBot="1">
      <c r="A4" s="18" t="str">
        <f>"Designation " &amp; F3&amp;'Fill white Cells '!E4 &amp; "    " &amp; "Station " &amp; F3 &amp; 'Fill white Cells '!E7 &amp; F5 &amp; 'Fill white Cells '!E8</f>
        <v xml:space="preserve">Designation  :     Station  : . - </v>
      </c>
      <c r="B4" s="19"/>
      <c r="C4" s="20"/>
      <c r="D4" s="20"/>
      <c r="E4" s="21"/>
    </row>
    <row r="5" spans="1:21" ht="3" customHeight="1" thickBot="1">
      <c r="A5" s="22"/>
      <c r="B5" s="22"/>
      <c r="C5" s="22" t="s">
        <v>145</v>
      </c>
      <c r="D5" s="22"/>
      <c r="E5" s="23"/>
      <c r="F5" s="48" t="s">
        <v>146</v>
      </c>
    </row>
    <row r="6" spans="1:21" ht="15">
      <c r="A6" s="24" t="s">
        <v>147</v>
      </c>
      <c r="B6" s="603" t="s">
        <v>125</v>
      </c>
      <c r="C6" s="604"/>
      <c r="D6" s="605"/>
      <c r="E6" s="476" t="s">
        <v>129</v>
      </c>
    </row>
    <row r="7" spans="1:21" ht="12.75" customHeight="1">
      <c r="A7" s="626">
        <v>1</v>
      </c>
      <c r="B7" s="30" t="s">
        <v>148</v>
      </c>
      <c r="C7" s="31"/>
      <c r="D7" s="377">
        <f>'OLD back'!J30</f>
        <v>0</v>
      </c>
      <c r="E7" s="627">
        <f>'OLD back'!J30+D8</f>
        <v>0</v>
      </c>
      <c r="F7" s="188"/>
    </row>
    <row r="8" spans="1:21" ht="12.75" customHeight="1">
      <c r="A8" s="609"/>
      <c r="B8" s="629" t="s">
        <v>149</v>
      </c>
      <c r="C8" s="630"/>
      <c r="D8" s="376"/>
      <c r="E8" s="628"/>
    </row>
    <row r="9" spans="1:21" ht="15" customHeight="1">
      <c r="A9" s="606">
        <v>2</v>
      </c>
      <c r="B9" s="610" t="s">
        <v>150</v>
      </c>
      <c r="C9" s="611"/>
      <c r="D9" s="612"/>
      <c r="E9" s="613">
        <f>IF(G9&gt;0,G9,0)</f>
        <v>0</v>
      </c>
      <c r="G9" s="249">
        <f>IF('Fill white Cells '!E13="NO",0,IF('Fill white Cells '!E14="YES",SMALL(U15:U17,1),SMALL(R15:R17,1)))</f>
        <v>0</v>
      </c>
    </row>
    <row r="10" spans="1:21" ht="15">
      <c r="A10" s="607"/>
      <c r="B10" s="618" t="str">
        <f>IF('Fill white Cells '!E13="NO"," ", ("a. ACTUAL RENT RECEIVED : " &amp; 'OLD back'!F30))</f>
        <v>a. ACTUAL RENT RECEIVED : 0</v>
      </c>
      <c r="C10" s="619"/>
      <c r="D10" s="620"/>
      <c r="E10" s="614"/>
      <c r="F10" s="16"/>
      <c r="G10" s="249">
        <f>IF('Fill white Cells '!K35&gt;0, 0, (MROUND(((R10+R12)/10),500)))</f>
        <v>0</v>
      </c>
      <c r="R10" s="250">
        <f>'OLD back'!F30</f>
        <v>0</v>
      </c>
      <c r="U10" s="249">
        <f>R10</f>
        <v>0</v>
      </c>
    </row>
    <row r="11" spans="1:21" ht="15.75" customHeight="1">
      <c r="A11" s="607"/>
      <c r="B11" s="621" t="str">
        <f>IF('Fill white Cells '!E13="NO"," ",IF('Fill white Cells '!E14="YES",("b. i) ACTUAL RENT PAID ("&amp;S11&amp;"/m) : "&amp;T11&amp;"  ii) 10% OF SALARY (PAY +DA): "&amp;R12&amp; "   i - ii ="&amp;U13),("b. i) ACTUAL RENT PAID : "&amp;R11&amp;"  ii) 10% OF SALARY (PAY +DA): "&amp;R12&amp;" i - ii ="&amp;R13)))</f>
        <v>b. i) ACTUAL RENT PAID : 6000  ii) 10% OF SALARY (PAY +DA): 0 i - ii =6000</v>
      </c>
      <c r="C11" s="622"/>
      <c r="D11" s="623"/>
      <c r="E11" s="614"/>
      <c r="F11" s="189"/>
      <c r="G11" s="249" t="e">
        <f>R12/R10</f>
        <v>#DIV/0!</v>
      </c>
      <c r="H11" s="251"/>
      <c r="R11" s="252">
        <f>IF(T11&gt;100000,100000,T11)</f>
        <v>6000</v>
      </c>
      <c r="S11" s="253">
        <f>'Fill white Cells '!H14</f>
        <v>500</v>
      </c>
      <c r="T11" s="249">
        <f>12*S11</f>
        <v>6000</v>
      </c>
      <c r="U11" s="249">
        <f>T11</f>
        <v>6000</v>
      </c>
    </row>
    <row r="12" spans="1:21" ht="15.75" hidden="1" customHeight="1">
      <c r="A12" s="608"/>
      <c r="B12" s="153" t="s">
        <v>151</v>
      </c>
      <c r="C12" s="28"/>
      <c r="D12" s="154"/>
      <c r="E12" s="614"/>
      <c r="F12" s="16"/>
      <c r="G12" s="249">
        <f>MROUND(R12-R10, 10000)</f>
        <v>0</v>
      </c>
      <c r="R12" s="252">
        <f>IF('Fill white Cells '!E13="YES", (ROUND((('OLD back'!B30+'OLD back'!E30)*(10/100)),0)),IF(OR('Fill white Cells '!L33&gt;0,'Fill white Cells '!K33&gt;0),0,  (ROUND(('OLD back'!B30+'OLD back'!E30)*(10/100),0))))</f>
        <v>0</v>
      </c>
      <c r="S12" s="249">
        <f>IF('Fill white Cells '!E15="YES", CEILING(((R10+R12+100)/12),500), IF('Fill white Cells '!K35&gt;0, 0, CEILING(((R10+R12+100)/12),500)))</f>
        <v>500</v>
      </c>
      <c r="U12" s="249">
        <f>R12</f>
        <v>0</v>
      </c>
    </row>
    <row r="13" spans="1:21" ht="15.75" hidden="1" customHeight="1">
      <c r="A13" s="609"/>
      <c r="B13" s="155" t="s">
        <v>152</v>
      </c>
      <c r="C13" s="29"/>
      <c r="D13" s="154"/>
      <c r="E13" s="615"/>
      <c r="R13" s="254">
        <f>R11-R12</f>
        <v>6000</v>
      </c>
      <c r="U13" s="254">
        <f>IF((U12-U11)&lt;0,(U12-U11)*-1,(U12-U11))</f>
        <v>6000</v>
      </c>
    </row>
    <row r="14" spans="1:21" ht="15.75" customHeight="1">
      <c r="A14" s="626">
        <v>3</v>
      </c>
      <c r="B14" s="30" t="s">
        <v>153</v>
      </c>
      <c r="C14" s="31"/>
      <c r="D14" s="38"/>
      <c r="E14" s="32">
        <f>'OLD back'!U30</f>
        <v>0</v>
      </c>
      <c r="F14" s="16"/>
    </row>
    <row r="15" spans="1:21" ht="15">
      <c r="A15" s="608"/>
      <c r="B15" s="33" t="s">
        <v>154</v>
      </c>
      <c r="C15" s="34"/>
      <c r="D15" s="152"/>
      <c r="E15" s="27">
        <v>50000</v>
      </c>
      <c r="F15" s="16"/>
      <c r="R15" s="249">
        <f>R10</f>
        <v>0</v>
      </c>
      <c r="U15" s="249">
        <f>U10</f>
        <v>0</v>
      </c>
    </row>
    <row r="16" spans="1:21" ht="15">
      <c r="A16" s="609"/>
      <c r="B16" s="477" t="s">
        <v>155</v>
      </c>
      <c r="C16" s="164"/>
      <c r="D16" s="165"/>
      <c r="E16" s="27">
        <f>'Fill white Cells '!D33</f>
        <v>0</v>
      </c>
      <c r="F16" s="16"/>
      <c r="R16" s="249">
        <f>R11</f>
        <v>6000</v>
      </c>
      <c r="U16" s="249">
        <f>U11</f>
        <v>6000</v>
      </c>
    </row>
    <row r="17" spans="1:21" ht="15">
      <c r="A17" s="478">
        <v>4</v>
      </c>
      <c r="B17" s="631" t="s">
        <v>156</v>
      </c>
      <c r="C17" s="632"/>
      <c r="D17" s="29">
        <f>'Fill white Cells '!K35</f>
        <v>0</v>
      </c>
      <c r="E17" s="27">
        <f>IF(D17&lt;200000, D17, 200000)</f>
        <v>0</v>
      </c>
      <c r="R17" s="249">
        <f>R13</f>
        <v>6000</v>
      </c>
      <c r="U17" s="249">
        <f>U13</f>
        <v>6000</v>
      </c>
    </row>
    <row r="18" spans="1:21" ht="15">
      <c r="A18" s="25">
        <v>5</v>
      </c>
      <c r="B18" s="633" t="s">
        <v>157</v>
      </c>
      <c r="C18" s="634"/>
      <c r="D18" s="635"/>
      <c r="E18" s="36">
        <f>((E7-E9)-(E14)-(E17)-(E15)-(E16))</f>
        <v>-50000</v>
      </c>
    </row>
    <row r="19" spans="1:21" ht="14.25" customHeight="1">
      <c r="A19" s="648">
        <v>6</v>
      </c>
      <c r="B19" s="636" t="s">
        <v>158</v>
      </c>
      <c r="C19" s="637"/>
      <c r="D19" s="638"/>
      <c r="E19" s="599"/>
      <c r="I19" s="249">
        <f>72000/12</f>
        <v>6000</v>
      </c>
    </row>
    <row r="20" spans="1:21" ht="15" hidden="1" customHeight="1">
      <c r="A20" s="693"/>
      <c r="B20" s="639"/>
      <c r="C20" s="640"/>
      <c r="D20" s="641"/>
      <c r="E20" s="599"/>
    </row>
    <row r="21" spans="1:21" ht="15.75" customHeight="1">
      <c r="A21" s="693"/>
      <c r="B21" s="642" t="s">
        <v>159</v>
      </c>
      <c r="C21" s="642"/>
      <c r="D21" s="433">
        <f>D32</f>
        <v>0</v>
      </c>
      <c r="E21" s="599"/>
    </row>
    <row r="22" spans="1:21" ht="16.5" hidden="1" customHeight="1">
      <c r="A22" s="693"/>
      <c r="B22" s="596" t="s">
        <v>160</v>
      </c>
      <c r="C22" s="596"/>
      <c r="D22" s="434">
        <f>IF('Fill white Cells '!E11=2, 'OLD back'!K30, 0)</f>
        <v>0</v>
      </c>
      <c r="E22" s="599"/>
    </row>
    <row r="23" spans="1:21" ht="16.5" hidden="1" customHeight="1">
      <c r="A23" s="693"/>
      <c r="B23" s="596" t="s">
        <v>161</v>
      </c>
      <c r="C23" s="596"/>
      <c r="D23" s="434">
        <f>('OLD back'!N30)</f>
        <v>0</v>
      </c>
      <c r="E23" s="599"/>
    </row>
    <row r="24" spans="1:21" ht="16.5" hidden="1" customHeight="1">
      <c r="A24" s="693"/>
      <c r="B24" s="596" t="s">
        <v>162</v>
      </c>
      <c r="C24" s="596"/>
      <c r="D24" s="434">
        <f>('OLD back'!L30)</f>
        <v>0</v>
      </c>
      <c r="E24" s="599"/>
    </row>
    <row r="25" spans="1:21" ht="16.5" hidden="1" customHeight="1">
      <c r="A25" s="693"/>
      <c r="B25" s="596" t="s">
        <v>163</v>
      </c>
      <c r="C25" s="596"/>
      <c r="D25" s="434">
        <f>'OLD back'!X39+'OLD back'!O30+'OLD back'!P30</f>
        <v>0</v>
      </c>
      <c r="E25" s="599"/>
    </row>
    <row r="26" spans="1:21" ht="16.5" hidden="1" customHeight="1">
      <c r="A26" s="693"/>
      <c r="B26" s="596"/>
      <c r="C26" s="596"/>
      <c r="D26" s="434"/>
      <c r="E26" s="599"/>
    </row>
    <row r="27" spans="1:21" ht="16.5" hidden="1" customHeight="1">
      <c r="A27" s="693"/>
      <c r="B27" s="596" t="s">
        <v>164</v>
      </c>
      <c r="C27" s="596"/>
      <c r="D27" s="435">
        <f>'OLD back'!X40</f>
        <v>0</v>
      </c>
      <c r="E27" s="599"/>
    </row>
    <row r="28" spans="1:21" ht="16.5" hidden="1" customHeight="1">
      <c r="A28" s="693"/>
      <c r="B28" s="596" t="s">
        <v>165</v>
      </c>
      <c r="C28" s="596"/>
      <c r="D28" s="434">
        <f>'OLD back'!X41</f>
        <v>0</v>
      </c>
      <c r="E28" s="599"/>
    </row>
    <row r="29" spans="1:21" ht="16.5" hidden="1" customHeight="1">
      <c r="A29" s="693"/>
      <c r="B29" s="596" t="s">
        <v>166</v>
      </c>
      <c r="C29" s="596"/>
      <c r="D29" s="434">
        <f>'Fill white Cells '!L35</f>
        <v>0</v>
      </c>
      <c r="E29" s="599"/>
    </row>
    <row r="30" spans="1:21" ht="16.5" hidden="1" customHeight="1">
      <c r="A30" s="693"/>
      <c r="B30" s="596" t="s">
        <v>167</v>
      </c>
      <c r="C30" s="596"/>
      <c r="D30" s="434">
        <f>'OLD back'!X42</f>
        <v>0</v>
      </c>
      <c r="E30" s="599"/>
      <c r="F30" s="16"/>
    </row>
    <row r="31" spans="1:21" ht="16.5" hidden="1" customHeight="1">
      <c r="A31" s="693"/>
      <c r="B31" s="596" t="s">
        <v>168</v>
      </c>
      <c r="C31" s="596"/>
      <c r="D31" s="434">
        <f>'Fill white Cells '!G52</f>
        <v>0</v>
      </c>
      <c r="E31" s="599"/>
    </row>
    <row r="32" spans="1:21" ht="16.5" hidden="1" customHeight="1">
      <c r="A32" s="693"/>
      <c r="B32" s="644" t="s">
        <v>169</v>
      </c>
      <c r="C32" s="644"/>
      <c r="D32" s="434">
        <f>SUM(D22:D31)</f>
        <v>0</v>
      </c>
      <c r="E32" s="599"/>
    </row>
    <row r="33" spans="1:20" ht="16.5" customHeight="1">
      <c r="A33" s="693"/>
      <c r="B33" s="643" t="s">
        <v>170</v>
      </c>
      <c r="C33" s="643"/>
      <c r="D33" s="433">
        <f>IF('Fill white Cells '!E49&lt;=10000,'Fill white Cells '!E49,10000)</f>
        <v>0</v>
      </c>
      <c r="E33" s="599"/>
      <c r="F33" s="16"/>
    </row>
    <row r="34" spans="1:20" ht="16.5" customHeight="1">
      <c r="A34" s="693"/>
      <c r="B34" s="642" t="s">
        <v>171</v>
      </c>
      <c r="C34" s="642"/>
      <c r="D34" s="433">
        <f>IF('Fill white Cells '!E11=1, ('OLD back'!K30-'Fill white Cells '!C54), 0)</f>
        <v>0</v>
      </c>
      <c r="E34" s="599"/>
    </row>
    <row r="35" spans="1:20" ht="16.5" customHeight="1">
      <c r="A35" s="693"/>
      <c r="B35" s="600" t="str">
        <f>"Total in 80C+80CCC+80CCD(1) is Rs."&amp;(D21+D33+D34)&amp; " [Max. Rs.1,50,000 to be deduct]"</f>
        <v>Total in 80C+80CCC+80CCD(1) is Rs.0 [Max. Rs.1,50,000 to be deduct]</v>
      </c>
      <c r="C35" s="601"/>
      <c r="D35" s="436">
        <f>IF((D21+D33+D34)&lt;150000,(D21+D33+D34),150000)</f>
        <v>0</v>
      </c>
      <c r="E35" s="597">
        <f>D35+D38+D39</f>
        <v>0</v>
      </c>
      <c r="G35" s="249">
        <f>55000*8.5/100</f>
        <v>4675</v>
      </c>
    </row>
    <row r="36" spans="1:20" ht="15.75" hidden="1" customHeight="1">
      <c r="A36" s="693"/>
      <c r="D36" s="437"/>
      <c r="E36" s="598"/>
      <c r="R36" s="249">
        <f>D21+D33</f>
        <v>0</v>
      </c>
      <c r="T36" s="249">
        <f>D40</f>
        <v>0</v>
      </c>
    </row>
    <row r="37" spans="1:20" ht="12.75" hidden="1" customHeight="1">
      <c r="A37" s="693"/>
      <c r="B37" s="50" t="s">
        <v>145</v>
      </c>
      <c r="D37" s="437"/>
      <c r="E37" s="598"/>
      <c r="R37" s="249">
        <f>IF('Fill white Cells '!E11=2, IF((D21+D33)&lt;=150000,(D21+D33),150000),0)</f>
        <v>0</v>
      </c>
    </row>
    <row r="38" spans="1:20" ht="15">
      <c r="A38" s="693"/>
      <c r="B38" s="642" t="s">
        <v>172</v>
      </c>
      <c r="C38" s="642"/>
      <c r="D38" s="436">
        <f>IF('Fill white Cells '!E50&lt;50000,'Fill white Cells '!E50,50000)</f>
        <v>0</v>
      </c>
      <c r="E38" s="598"/>
      <c r="R38" s="249">
        <f>IF((R37+D38+D39)&lt;=200000, (R37+D38+D39), 200000)</f>
        <v>0</v>
      </c>
    </row>
    <row r="39" spans="1:20" ht="15" customHeight="1">
      <c r="A39" s="693"/>
      <c r="B39" s="698" t="s">
        <v>173</v>
      </c>
      <c r="C39" s="698"/>
      <c r="D39" s="436">
        <f>IF('Fill white Cells '!E52&lt;=20000,'Fill white Cells '!E52,20000)</f>
        <v>0</v>
      </c>
      <c r="E39" s="598"/>
      <c r="S39" s="249">
        <f>IF('Fill white Cells '!E11=2,R38, IF(T36&lt;=200000,T36,200000))</f>
        <v>0</v>
      </c>
    </row>
    <row r="40" spans="1:20" ht="30.75" hidden="1" customHeight="1">
      <c r="A40" s="693"/>
      <c r="B40" s="699"/>
      <c r="C40" s="700"/>
      <c r="D40" s="183"/>
      <c r="E40" s="438"/>
    </row>
    <row r="41" spans="1:20" ht="15" customHeight="1">
      <c r="A41" s="693"/>
      <c r="B41" s="680" t="s">
        <v>174</v>
      </c>
      <c r="C41" s="681"/>
      <c r="D41" s="682"/>
      <c r="E41" s="27">
        <f>'Fill white Cells '!E51</f>
        <v>0</v>
      </c>
    </row>
    <row r="42" spans="1:20" ht="30" customHeight="1">
      <c r="A42" s="693"/>
      <c r="B42" s="701" t="s">
        <v>175</v>
      </c>
      <c r="C42" s="702"/>
      <c r="D42" s="703"/>
      <c r="E42" s="27">
        <f>MAX('Fill white Cells '!T49:T51)</f>
        <v>0</v>
      </c>
    </row>
    <row r="43" spans="1:20" ht="30" customHeight="1">
      <c r="A43" s="693"/>
      <c r="B43" s="701" t="s">
        <v>176</v>
      </c>
      <c r="C43" s="702"/>
      <c r="D43" s="703"/>
      <c r="E43" s="27">
        <f>IF('Fill white Cells '!E18=1, 75000, IF('Fill white Cells '!E18=2, 125000, 0))</f>
        <v>0</v>
      </c>
    </row>
    <row r="44" spans="1:20" ht="15" customHeight="1">
      <c r="A44" s="693"/>
      <c r="B44" s="689" t="s">
        <v>177</v>
      </c>
      <c r="C44" s="690"/>
      <c r="D44" s="691"/>
      <c r="E44" s="27">
        <f>'Fill white Cells '!I49</f>
        <v>0</v>
      </c>
    </row>
    <row r="45" spans="1:20" ht="15" customHeight="1">
      <c r="A45" s="693"/>
      <c r="B45" s="689" t="s">
        <v>178</v>
      </c>
      <c r="C45" s="690"/>
      <c r="D45" s="691"/>
      <c r="E45" s="27">
        <f>'Fill white Cells '!G49</f>
        <v>0</v>
      </c>
    </row>
    <row r="46" spans="1:20" ht="15" customHeight="1">
      <c r="A46" s="693"/>
      <c r="B46" s="689" t="s">
        <v>179</v>
      </c>
      <c r="C46" s="690"/>
      <c r="D46" s="691"/>
      <c r="E46" s="27">
        <f>IF('Fill white Cells '!G50&gt;150000, 150000, 'Fill white Cells '!G50)</f>
        <v>0</v>
      </c>
    </row>
    <row r="47" spans="1:20" ht="15" customHeight="1">
      <c r="A47" s="693"/>
      <c r="B47" s="695" t="s">
        <v>180</v>
      </c>
      <c r="C47" s="696"/>
      <c r="D47" s="697"/>
      <c r="E47" s="27">
        <f>'Fill white Cells '!G51</f>
        <v>0</v>
      </c>
    </row>
    <row r="48" spans="1:20" ht="15">
      <c r="A48" s="693"/>
      <c r="B48" s="686" t="s">
        <v>181</v>
      </c>
      <c r="C48" s="687"/>
      <c r="D48" s="688"/>
      <c r="E48" s="27">
        <f>IF('Fill white Cells '!E19="YES",ROUND('OLD back'!J19/31,0)+'Fill white Cells '!I50,'Fill white Cells '!I50)</f>
        <v>0</v>
      </c>
    </row>
    <row r="49" spans="1:18" ht="15">
      <c r="A49" s="693"/>
      <c r="B49" s="683" t="s">
        <v>182</v>
      </c>
      <c r="C49" s="684"/>
      <c r="D49" s="685"/>
      <c r="E49" s="27">
        <f>'Fill white Cells '!I51</f>
        <v>0</v>
      </c>
    </row>
    <row r="50" spans="1:18" ht="15">
      <c r="A50" s="693"/>
      <c r="B50" s="680" t="s">
        <v>183</v>
      </c>
      <c r="C50" s="681"/>
      <c r="D50" s="682"/>
      <c r="E50" s="27">
        <f>'Fill white Cells '!I52</f>
        <v>0</v>
      </c>
    </row>
    <row r="51" spans="1:18" ht="15">
      <c r="A51" s="693"/>
      <c r="B51" s="686" t="s">
        <v>184</v>
      </c>
      <c r="C51" s="687"/>
      <c r="D51" s="688"/>
      <c r="E51" s="27">
        <f>IF('Fill white Cells '!E17=1, 75000, IF('Fill white Cells '!E17=2, 125000, 0))</f>
        <v>0</v>
      </c>
    </row>
    <row r="52" spans="1:18" ht="15">
      <c r="A52" s="694"/>
      <c r="B52" s="151" t="s">
        <v>185</v>
      </c>
      <c r="C52" s="151"/>
      <c r="D52" s="152"/>
      <c r="E52" s="27">
        <f>E35+E41+E42+E43+E44+E45+E46+E47+E48+E49+E50+E51</f>
        <v>0</v>
      </c>
    </row>
    <row r="53" spans="1:18" ht="15">
      <c r="A53" s="626">
        <v>7</v>
      </c>
      <c r="B53" s="658" t="str">
        <f xml:space="preserve"> "NET  TAXABLE  INCOME [COL.5 - COL.6] :" &amp; G53 &amp; "          ROUNDED TO NEAREST  TEN (U/S.288A)"</f>
        <v>NET  TAXABLE  INCOME [COL.5 - COL.6] :0          ROUNDED TO NEAREST  TEN (U/S.288A)</v>
      </c>
      <c r="C53" s="659"/>
      <c r="D53" s="692"/>
      <c r="E53" s="27">
        <f>MROUND(G53,10)</f>
        <v>0</v>
      </c>
      <c r="G53" s="260">
        <f>IF(E18-E52&gt;0,E18-E52,0)</f>
        <v>0</v>
      </c>
      <c r="R53" s="255"/>
    </row>
    <row r="54" spans="1:18" ht="15" hidden="1">
      <c r="A54" s="609"/>
      <c r="B54" s="37" t="s">
        <v>186</v>
      </c>
      <c r="C54" s="37"/>
      <c r="D54" s="38"/>
      <c r="E54" s="39"/>
    </row>
    <row r="55" spans="1:18" ht="15">
      <c r="A55" s="626">
        <v>8</v>
      </c>
      <c r="B55" s="656" t="str">
        <f>IF('Fill white Cells '!E6&lt;60,"1. Tax on Rupee 1 to 2,50,000   - NIL","1. Tax on Rupee 1 to 3,00,000   - NIL")</f>
        <v>1. Tax on Rupee 1 to 2,50,000   - NIL</v>
      </c>
      <c r="C55" s="657"/>
      <c r="D55" s="40">
        <f>IF('Fill white Cells '!E6&lt;60,250000,300000)</f>
        <v>250000</v>
      </c>
      <c r="E55" s="27" t="s">
        <v>187</v>
      </c>
    </row>
    <row r="56" spans="1:18" ht="15">
      <c r="A56" s="608"/>
      <c r="B56" s="656" t="str">
        <f>IF('Fill white Cells '!E6&lt;60,"2. Tax on Rupees 2,50,001 to 5,00,000  @  5% ",IF('Fill white Cells '!E6&lt;80,"2. Tax on Rupees 3,00,001 to 5,00,000  @  5% ","2. Tax on Rupees 3,00,001 to 5,00,000  - NIL "))</f>
        <v xml:space="preserve">2. Tax on Rupees 2,50,001 to 5,00,000  @  5% </v>
      </c>
      <c r="C56" s="657"/>
      <c r="D56" s="40">
        <f>IF('Fill white Cells '!E6&lt;60,IF(D55&gt;E53,0,IF((E53-D55)&gt;250000,"250000",E53-D55)),IF(D55&gt;E53,0,IF((E53-D55)&gt;200000,"200000",E53-D55)))</f>
        <v>0</v>
      </c>
      <c r="E56" s="27">
        <f>IF('Fill white Cells '!E6&lt;80,IF(D55&gt;E53,0,ROUND((D56)*0.05,0)),"NIL")</f>
        <v>0</v>
      </c>
    </row>
    <row r="57" spans="1:18" ht="15">
      <c r="A57" s="608"/>
      <c r="B57" s="656" t="s">
        <v>188</v>
      </c>
      <c r="C57" s="657"/>
      <c r="D57" s="41">
        <f>IF(D55&gt;E53,0,IF((E53-(D55+D56))&gt;500000,"500000",E53-(D55+D56)))</f>
        <v>0</v>
      </c>
      <c r="E57" s="27">
        <f>(ROUND((D57)*0.2,0))</f>
        <v>0</v>
      </c>
      <c r="G57" s="671"/>
      <c r="H57" s="671"/>
      <c r="I57" s="671"/>
    </row>
    <row r="58" spans="1:18" ht="15">
      <c r="A58" s="608"/>
      <c r="B58" s="656" t="s">
        <v>189</v>
      </c>
      <c r="C58" s="657"/>
      <c r="D58" s="41">
        <f>IF(D55&gt;E53,0,E53-(D55+D56+D57))</f>
        <v>0</v>
      </c>
      <c r="E58" s="27">
        <f>(ROUND((D58)*0.3,0))</f>
        <v>0</v>
      </c>
      <c r="G58" s="256"/>
    </row>
    <row r="59" spans="1:18" ht="15">
      <c r="A59" s="609"/>
      <c r="B59" s="658" t="str">
        <f>IF('Fill white Cells '!E16="YES","TOTAL TAX = "&amp;E56+E57+E58&amp;" is Rounding Off U/S.288B", "TOTAL TAX")</f>
        <v>TOTAL TAX</v>
      </c>
      <c r="C59" s="659"/>
      <c r="D59" s="35"/>
      <c r="E59" s="42">
        <f>IF('Fill white Cells '!E16="YES", MROUND(SUM(E56:E58),10),SUM(E56:E58))</f>
        <v>0</v>
      </c>
      <c r="G59" s="256"/>
    </row>
    <row r="60" spans="1:18" ht="15">
      <c r="A60" s="478">
        <v>9</v>
      </c>
      <c r="B60" s="675" t="s">
        <v>190</v>
      </c>
      <c r="C60" s="676"/>
      <c r="D60" s="677"/>
      <c r="E60" s="27" t="str">
        <f>IF(E53&gt;500000,"0","12500")</f>
        <v>12500</v>
      </c>
    </row>
    <row r="61" spans="1:18" ht="15">
      <c r="A61" s="478">
        <v>10</v>
      </c>
      <c r="B61" s="658" t="s">
        <v>191</v>
      </c>
      <c r="C61" s="659"/>
      <c r="D61" s="455"/>
      <c r="E61" s="27">
        <f>IF(G63&lt;0,0,(E59-E60))</f>
        <v>0</v>
      </c>
    </row>
    <row r="62" spans="1:18" ht="15">
      <c r="A62" s="478">
        <v>11</v>
      </c>
      <c r="B62" s="663" t="s">
        <v>192</v>
      </c>
      <c r="C62" s="664"/>
      <c r="D62" s="674"/>
      <c r="E62" s="27">
        <f>'Fill white Cells '!D35</f>
        <v>0</v>
      </c>
    </row>
    <row r="63" spans="1:18" ht="15">
      <c r="A63" s="478">
        <v>12</v>
      </c>
      <c r="B63" s="658" t="s">
        <v>193</v>
      </c>
      <c r="C63" s="659"/>
      <c r="D63" s="26"/>
      <c r="E63" s="42">
        <f>E61-E62</f>
        <v>0</v>
      </c>
      <c r="G63" s="249">
        <f>(E59-E60)</f>
        <v>-12500</v>
      </c>
    </row>
    <row r="64" spans="1:18" ht="15">
      <c r="A64" s="478">
        <v>13</v>
      </c>
      <c r="B64" s="663" t="s">
        <v>194</v>
      </c>
      <c r="C64" s="664"/>
      <c r="D64" s="29"/>
      <c r="E64" s="27">
        <f>IF('Fill white Cells '!E16="YES",MROUND((E63*0.04),10),(ROUND((E63)*0.04,0)))</f>
        <v>0</v>
      </c>
    </row>
    <row r="65" spans="1:22" ht="15" hidden="1">
      <c r="A65" s="478">
        <v>12</v>
      </c>
      <c r="B65" s="249"/>
      <c r="C65" s="249"/>
      <c r="D65" s="249"/>
      <c r="E65" s="249"/>
      <c r="F65" s="48" t="s">
        <v>145</v>
      </c>
      <c r="G65" s="249">
        <f>ROUND(E62/1.04,0)</f>
        <v>0</v>
      </c>
      <c r="I65" s="249">
        <f>E62-G65</f>
        <v>0</v>
      </c>
    </row>
    <row r="66" spans="1:22" ht="15">
      <c r="A66" s="478">
        <v>14</v>
      </c>
      <c r="B66" s="678" t="str">
        <f>"LESS : TAX ALREADY  DEDUCTED FOR 2024-2025 [TAX :"&amp;U66&amp;" + CESS :"&amp;V66&amp;"]"</f>
        <v>LESS : TAX ALREADY  DEDUCTED FOR 2024-2025 [TAX :0 + CESS :0]</v>
      </c>
      <c r="C66" s="679"/>
      <c r="D66" s="29"/>
      <c r="E66" s="27">
        <f>U66+V66</f>
        <v>0</v>
      </c>
      <c r="U66" s="257">
        <f>'OLD back'!Q9+'OLD back'!Q10+'OLD back'!Q11+'OLD back'!Q12+'OLD back'!Q13+'OLD back'!Q14+'OLD back'!Q15+'OLD back'!Q16+'OLD back'!Q17+'OLD back'!Q18+'OLD back'!Q19+'OLD back'!Q26+'OLD back'!Q27+'OLD back'!RQ8+'OLD back'!Q29</f>
        <v>0</v>
      </c>
      <c r="V66" s="258">
        <f>'OLD back'!R9+'OLD back'!R10+'OLD back'!R11+'OLD back'!R12+'OLD back'!R13+'OLD back'!R14+'OLD back'!R15+'OLD back'!R16+'OLD back'!R17+'OLD back'!R18+'OLD back'!R19+'OLD back'!R26+'OLD back'!R27+'OLD back'!R28+'OLD back'!R29</f>
        <v>0</v>
      </c>
    </row>
    <row r="67" spans="1:22" ht="15" customHeight="1">
      <c r="A67" s="648">
        <v>15</v>
      </c>
      <c r="B67" s="633" t="s">
        <v>195</v>
      </c>
      <c r="C67" s="634"/>
      <c r="D67" s="635"/>
      <c r="E67" s="665">
        <f>'OLD back'!Q20+'OLD back'!R20</f>
        <v>0</v>
      </c>
      <c r="S67" s="249">
        <f>IF(T67&lt;0,T67*(-1),0)</f>
        <v>0</v>
      </c>
      <c r="T67" s="249">
        <f>E63-(U66+G65)</f>
        <v>0</v>
      </c>
      <c r="U67" s="249">
        <f>IF(T67&lt;0,0, T67)</f>
        <v>0</v>
      </c>
      <c r="V67" s="258">
        <f>IF('Fill white Cells '!E16="YES",MROUND(U68,10),U68)</f>
        <v>0</v>
      </c>
    </row>
    <row r="68" spans="1:22" ht="15" customHeight="1" thickBot="1">
      <c r="A68" s="649"/>
      <c r="B68" s="660" t="str">
        <f>IF(E63+E64&gt;='OLD back'!Q30+'OLD back'!R30,"[Tax :"&amp;'OLD back'!Q20&amp; " + Cess :" &amp; 'OLD back'!R20&amp;"]","[Tax :"&amp;'OLD back'!Q20&amp; " + Cess :" &amp; 'OLD back'!R20&amp;"] and Refund after IT Return : "&amp;('OLD back'!Q30+'OLD back'!R30)-(E63+E64))</f>
        <v>[Tax :0 + Cess :0]</v>
      </c>
      <c r="C68" s="661"/>
      <c r="D68" s="662"/>
      <c r="E68" s="666"/>
      <c r="G68" s="672"/>
      <c r="H68" s="672"/>
      <c r="I68" s="672"/>
      <c r="J68" s="672"/>
      <c r="K68" s="672"/>
      <c r="S68" s="249">
        <f>IF(T68&lt;0,T68*(-1),0)</f>
        <v>0</v>
      </c>
      <c r="T68" s="249">
        <f>E64-(V66+I65)</f>
        <v>0</v>
      </c>
      <c r="U68" s="249">
        <f>ROUND(IF(T68&lt;0,0, T68),0)</f>
        <v>0</v>
      </c>
    </row>
    <row r="69" spans="1:22" ht="4.5" customHeight="1">
      <c r="A69" s="43"/>
      <c r="B69"/>
      <c r="C69"/>
      <c r="D69"/>
      <c r="E69" s="44"/>
    </row>
    <row r="70" spans="1:22" hidden="1">
      <c r="A70" s="650" t="e">
        <f>#REF!&amp;D25&amp;G67</f>
        <v>#REF!</v>
      </c>
      <c r="B70" s="651"/>
      <c r="C70" s="651"/>
      <c r="D70" s="651"/>
      <c r="E70" s="652"/>
    </row>
    <row r="71" spans="1:22" ht="15" hidden="1">
      <c r="A71" s="653">
        <f>G68</f>
        <v>0</v>
      </c>
      <c r="B71" s="654"/>
      <c r="C71" s="654"/>
      <c r="D71" s="654"/>
      <c r="E71" s="655"/>
      <c r="G71" s="673" t="s">
        <v>196</v>
      </c>
      <c r="H71" s="673"/>
      <c r="I71" s="673"/>
      <c r="J71" s="673"/>
      <c r="K71" s="673"/>
    </row>
    <row r="72" spans="1:22" ht="15" hidden="1">
      <c r="A72" s="667" t="str">
        <f>G71&amp;S11&amp;G72</f>
        <v>3. Certified that I am occupying a rental house paying a monthly rent of Rs.500 only</v>
      </c>
      <c r="B72" s="668"/>
      <c r="C72" s="668"/>
      <c r="D72" s="668"/>
      <c r="E72" s="669"/>
      <c r="G72" s="670" t="s">
        <v>197</v>
      </c>
      <c r="H72" s="670"/>
      <c r="I72" s="670"/>
      <c r="J72" s="670"/>
      <c r="K72" s="670"/>
    </row>
    <row r="73" spans="1:22">
      <c r="A73" s="645" t="s">
        <v>198</v>
      </c>
      <c r="B73" s="645"/>
      <c r="C73" s="645"/>
      <c r="D73" s="645"/>
      <c r="E73" s="645"/>
    </row>
    <row r="74" spans="1:22" ht="3" customHeight="1">
      <c r="A74" s="45"/>
      <c r="B74" s="46"/>
      <c r="C74" s="46"/>
      <c r="D74" s="46"/>
      <c r="E74" s="44"/>
    </row>
    <row r="75" spans="1:22" ht="15">
      <c r="A75" s="47" t="s">
        <v>199</v>
      </c>
      <c r="B75" s="47">
        <f>'Fill white Cells '!E8</f>
        <v>0</v>
      </c>
      <c r="C75" s="46"/>
      <c r="D75" s="46"/>
      <c r="E75" s="44"/>
    </row>
    <row r="76" spans="1:22" ht="15">
      <c r="A76" s="47" t="s">
        <v>200</v>
      </c>
      <c r="B76" s="479"/>
      <c r="C76" s="46"/>
      <c r="D76" s="46"/>
      <c r="E76" s="44"/>
    </row>
    <row r="77" spans="1:22" s="259" customFormat="1" ht="8.25" hidden="1" customHeight="1">
      <c r="A77" s="45"/>
      <c r="B77" s="46"/>
      <c r="C77" s="46"/>
      <c r="D77" s="46"/>
      <c r="E77" s="44"/>
      <c r="F77" s="48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</row>
    <row r="78" spans="1:22" s="259" customFormat="1" ht="24.75" customHeight="1">
      <c r="A78" s="45"/>
      <c r="B78" s="46"/>
      <c r="C78" s="46"/>
      <c r="D78" s="46"/>
      <c r="E78" s="44"/>
      <c r="F78" s="48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</row>
    <row r="79" spans="1:22" s="259" customFormat="1" ht="15">
      <c r="A79" s="646" t="s">
        <v>201</v>
      </c>
      <c r="B79" s="646"/>
      <c r="C79" s="647" t="s">
        <v>202</v>
      </c>
      <c r="D79" s="647"/>
      <c r="E79" s="647"/>
      <c r="F79" s="48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49"/>
    </row>
  </sheetData>
  <sheetProtection password="DD74" sheet="1" objects="1" scenarios="1" selectLockedCells="1"/>
  <mergeCells count="78">
    <mergeCell ref="B41:D41"/>
    <mergeCell ref="B49:D49"/>
    <mergeCell ref="B50:D50"/>
    <mergeCell ref="B51:D51"/>
    <mergeCell ref="A53:A54"/>
    <mergeCell ref="B44:D44"/>
    <mergeCell ref="B45:D45"/>
    <mergeCell ref="B53:D53"/>
    <mergeCell ref="B46:D46"/>
    <mergeCell ref="A19:A52"/>
    <mergeCell ref="B47:D47"/>
    <mergeCell ref="B39:C39"/>
    <mergeCell ref="B40:C40"/>
    <mergeCell ref="B42:D42"/>
    <mergeCell ref="B43:D43"/>
    <mergeCell ref="B48:D48"/>
    <mergeCell ref="E67:E68"/>
    <mergeCell ref="A72:E72"/>
    <mergeCell ref="G72:K72"/>
    <mergeCell ref="G57:I57"/>
    <mergeCell ref="G68:K68"/>
    <mergeCell ref="G71:K71"/>
    <mergeCell ref="B62:D62"/>
    <mergeCell ref="B60:D60"/>
    <mergeCell ref="B66:C66"/>
    <mergeCell ref="B67:D67"/>
    <mergeCell ref="B61:C61"/>
    <mergeCell ref="A73:E73"/>
    <mergeCell ref="A79:B79"/>
    <mergeCell ref="C79:E79"/>
    <mergeCell ref="A67:A68"/>
    <mergeCell ref="A14:A16"/>
    <mergeCell ref="A70:E70"/>
    <mergeCell ref="A71:E71"/>
    <mergeCell ref="A55:A59"/>
    <mergeCell ref="B58:C58"/>
    <mergeCell ref="B59:C59"/>
    <mergeCell ref="B55:C55"/>
    <mergeCell ref="B56:C56"/>
    <mergeCell ref="B57:C57"/>
    <mergeCell ref="B68:D68"/>
    <mergeCell ref="B63:C63"/>
    <mergeCell ref="B64:C64"/>
    <mergeCell ref="B17:C17"/>
    <mergeCell ref="B18:D18"/>
    <mergeCell ref="B19:D19"/>
    <mergeCell ref="B20:D20"/>
    <mergeCell ref="B38:C38"/>
    <mergeCell ref="B21:C21"/>
    <mergeCell ref="B34:C34"/>
    <mergeCell ref="B28:C28"/>
    <mergeCell ref="B29:C29"/>
    <mergeCell ref="B30:C30"/>
    <mergeCell ref="B31:C31"/>
    <mergeCell ref="B33:C33"/>
    <mergeCell ref="B25:C25"/>
    <mergeCell ref="B26:C26"/>
    <mergeCell ref="B27:C27"/>
    <mergeCell ref="B32:C32"/>
    <mergeCell ref="A1:E1"/>
    <mergeCell ref="B6:D6"/>
    <mergeCell ref="A9:A13"/>
    <mergeCell ref="B9:D9"/>
    <mergeCell ref="E9:E13"/>
    <mergeCell ref="D3:E3"/>
    <mergeCell ref="B10:D10"/>
    <mergeCell ref="B11:D11"/>
    <mergeCell ref="A2:B2"/>
    <mergeCell ref="C2:E2"/>
    <mergeCell ref="A7:A8"/>
    <mergeCell ref="E7:E8"/>
    <mergeCell ref="B8:C8"/>
    <mergeCell ref="B22:C22"/>
    <mergeCell ref="B23:C23"/>
    <mergeCell ref="B24:C24"/>
    <mergeCell ref="E35:E39"/>
    <mergeCell ref="E19:E34"/>
    <mergeCell ref="B35:C35"/>
  </mergeCells>
  <printOptions horizontalCentered="1" verticalCentered="1"/>
  <pageMargins left="7.8740157480315001E-2" right="7.8740157480315001E-2" top="7.8740157480315001E-2" bottom="7.8740157480315001E-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XFC62"/>
  <sheetViews>
    <sheetView showGridLines="0" showRowColHeaders="0" view="pageBreakPreview" zoomScale="90" zoomScaleSheetLayoutView="90" workbookViewId="0">
      <selection activeCell="K25" sqref="K25"/>
    </sheetView>
  </sheetViews>
  <sheetFormatPr defaultColWidth="0" defaultRowHeight="15" zeroHeight="1"/>
  <cols>
    <col min="1" max="1" width="10.85546875" style="54" customWidth="1"/>
    <col min="2" max="2" width="11.5703125" style="54" customWidth="1"/>
    <col min="3" max="3" width="4.42578125" style="54" hidden="1" customWidth="1"/>
    <col min="4" max="4" width="6.7109375" style="54" customWidth="1"/>
    <col min="5" max="5" width="8.140625" style="54" customWidth="1"/>
    <col min="6" max="6" width="6.5703125" style="54" customWidth="1"/>
    <col min="7" max="7" width="5.5703125" style="54" customWidth="1"/>
    <col min="8" max="8" width="7.5703125" style="54" customWidth="1"/>
    <col min="9" max="9" width="7.7109375" style="54" customWidth="1"/>
    <col min="10" max="10" width="9.140625" style="54" customWidth="1"/>
    <col min="11" max="11" width="8.140625" style="54" customWidth="1"/>
    <col min="12" max="12" width="4.42578125" style="54" customWidth="1"/>
    <col min="13" max="13" width="5.5703125" style="54" customWidth="1"/>
    <col min="14" max="14" width="4.7109375" style="54" customWidth="1"/>
    <col min="15" max="15" width="7.5703125" style="54" bestFit="1" customWidth="1"/>
    <col min="16" max="16" width="8.7109375" style="54" customWidth="1"/>
    <col min="17" max="17" width="8.140625" style="54" customWidth="1"/>
    <col min="18" max="18" width="7.140625" style="54" customWidth="1"/>
    <col min="19" max="19" width="7.42578125" style="54" customWidth="1"/>
    <col min="20" max="20" width="7.42578125" style="54" hidden="1" customWidth="1"/>
    <col min="21" max="21" width="6" style="54" customWidth="1"/>
    <col min="22" max="22" width="0.5703125" style="54" customWidth="1"/>
    <col min="23" max="27" width="7.42578125" style="54" hidden="1"/>
    <col min="28" max="62" width="7.42578125" style="107" hidden="1"/>
    <col min="63" max="64" width="9.140625" style="107" hidden="1"/>
    <col min="65" max="16383" width="9.140625" style="54" hidden="1"/>
    <col min="16384" max="16384" width="2.85546875" style="54" hidden="1"/>
  </cols>
  <sheetData>
    <row r="1" spans="1:64" ht="14.25" customHeight="1">
      <c r="A1" s="296" t="s">
        <v>203</v>
      </c>
      <c r="B1" s="773">
        <f>'Fill white Cells '!E9</f>
        <v>0</v>
      </c>
      <c r="C1" s="773"/>
      <c r="D1" s="773"/>
      <c r="E1" s="773"/>
      <c r="F1" s="287"/>
      <c r="G1" s="287"/>
      <c r="H1" s="772" t="s">
        <v>204</v>
      </c>
      <c r="I1" s="772"/>
      <c r="J1" s="772"/>
      <c r="K1" s="772"/>
      <c r="L1" s="772"/>
      <c r="M1" s="772"/>
      <c r="N1" s="772"/>
      <c r="O1" s="239"/>
      <c r="P1" s="771" t="str">
        <f>IF('Fill white Cells '!E6&lt;60,"TAN NO : ", "PENSION ID : ")</f>
        <v xml:space="preserve">TAN NO : </v>
      </c>
      <c r="Q1" s="771"/>
      <c r="R1" s="773">
        <f>'Fill white Cells '!E2</f>
        <v>0</v>
      </c>
      <c r="S1" s="773"/>
      <c r="T1" s="773"/>
      <c r="U1" s="774"/>
      <c r="V1" s="1"/>
      <c r="W1" s="1"/>
      <c r="X1" s="1"/>
      <c r="Y1" s="1"/>
      <c r="Z1" s="1"/>
      <c r="AA1" s="1"/>
      <c r="AB1" s="265"/>
      <c r="AC1" s="265"/>
      <c r="AD1" s="265"/>
    </row>
    <row r="2" spans="1:64" ht="6.75" hidden="1" customHeight="1">
      <c r="A2" s="717"/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9"/>
      <c r="V2" s="480" t="s">
        <v>146</v>
      </c>
      <c r="W2" s="54" t="s">
        <v>205</v>
      </c>
    </row>
    <row r="3" spans="1:64" ht="17.25" hidden="1">
      <c r="A3" s="240" t="s">
        <v>206</v>
      </c>
      <c r="B3" s="725" t="str">
        <f>W2 &amp; 'Fill white Cells '!E3</f>
        <v xml:space="preserve">: </v>
      </c>
      <c r="C3" s="725"/>
      <c r="D3" s="725"/>
      <c r="E3" s="725"/>
      <c r="F3" s="725"/>
      <c r="G3" s="725"/>
      <c r="H3" s="725"/>
      <c r="I3" s="56"/>
      <c r="J3" s="56"/>
      <c r="M3" s="726" t="s">
        <v>207</v>
      </c>
      <c r="N3" s="726"/>
      <c r="O3" s="726"/>
      <c r="P3" s="57" t="e">
        <f>W2 &amp; 'Fill white Cells '!#REF!</f>
        <v>#REF!</v>
      </c>
      <c r="Q3" s="57"/>
      <c r="R3" s="57"/>
      <c r="S3" s="57"/>
      <c r="U3" s="241"/>
      <c r="V3" s="58"/>
      <c r="W3" s="59"/>
      <c r="X3" s="59"/>
    </row>
    <row r="4" spans="1:64" ht="17.25" hidden="1">
      <c r="A4" s="242" t="s">
        <v>208</v>
      </c>
      <c r="B4" s="60" t="e">
        <f>W2 &amp; 'Fill white Cells '!#REF! &amp; V2 &amp; 'Fill white Cells '!E8</f>
        <v>#REF!</v>
      </c>
      <c r="C4" s="60"/>
      <c r="D4" s="60"/>
      <c r="H4" s="60"/>
      <c r="I4" s="60"/>
      <c r="J4" s="60"/>
      <c r="O4" s="61"/>
      <c r="P4" s="62" t="s">
        <v>209</v>
      </c>
      <c r="Q4" s="62"/>
      <c r="R4" s="722" t="e">
        <f>W2 &amp; 'Fill white Cells '!#REF!</f>
        <v>#REF!</v>
      </c>
      <c r="S4" s="722"/>
      <c r="T4" s="722"/>
      <c r="U4" s="723"/>
      <c r="V4" s="63"/>
      <c r="W4" s="59"/>
      <c r="X4" s="59"/>
    </row>
    <row r="5" spans="1:64" ht="18" hidden="1" thickBot="1">
      <c r="A5" s="64" t="s">
        <v>210</v>
      </c>
      <c r="B5" s="65" t="str">
        <f>W2 &amp; 'Fill white Cells '!E9</f>
        <v xml:space="preserve">: </v>
      </c>
      <c r="C5" s="65"/>
      <c r="D5" s="65"/>
      <c r="E5" s="66"/>
      <c r="F5" s="66"/>
      <c r="G5" s="66"/>
      <c r="H5" s="65"/>
      <c r="I5" s="65"/>
      <c r="J5" s="65"/>
      <c r="K5" s="66"/>
      <c r="L5" s="66"/>
      <c r="M5" s="727" t="s">
        <v>211</v>
      </c>
      <c r="N5" s="727"/>
      <c r="O5" s="727"/>
      <c r="P5" s="67" t="e">
        <f>W2 &amp; 'Fill white Cells '!#REF!</f>
        <v>#REF!</v>
      </c>
      <c r="Q5" s="67"/>
      <c r="R5" s="67"/>
      <c r="S5" s="67"/>
      <c r="T5" s="66"/>
      <c r="U5" s="68"/>
      <c r="V5" s="60"/>
      <c r="W5" s="59"/>
      <c r="X5" s="59"/>
    </row>
    <row r="6" spans="1:64" ht="17.25" hidden="1">
      <c r="A6" s="243"/>
      <c r="B6" s="58"/>
      <c r="C6" s="461"/>
      <c r="D6" s="60"/>
      <c r="E6" s="60"/>
      <c r="F6" s="60"/>
      <c r="G6" s="60"/>
      <c r="H6" s="60"/>
      <c r="I6" s="60"/>
      <c r="J6" s="60"/>
      <c r="K6" s="60"/>
      <c r="L6" s="720"/>
      <c r="M6" s="720"/>
      <c r="N6" s="720"/>
      <c r="O6" s="720"/>
      <c r="P6" s="720"/>
      <c r="Q6" s="720"/>
      <c r="R6" s="60"/>
      <c r="S6" s="60"/>
      <c r="T6" s="60"/>
      <c r="U6" s="244"/>
      <c r="V6" s="69"/>
      <c r="W6" s="69"/>
      <c r="X6" s="69"/>
      <c r="Y6" s="69"/>
      <c r="Z6" s="69"/>
      <c r="AA6" s="69"/>
      <c r="AB6" s="266"/>
      <c r="AC6" s="266"/>
      <c r="AD6" s="266"/>
      <c r="AE6" s="266"/>
    </row>
    <row r="7" spans="1:64" s="73" customFormat="1" ht="13.5" customHeight="1">
      <c r="A7" s="730" t="s">
        <v>212</v>
      </c>
      <c r="B7" s="729" t="s">
        <v>81</v>
      </c>
      <c r="C7" s="729"/>
      <c r="D7" s="729"/>
      <c r="E7" s="729" t="s">
        <v>213</v>
      </c>
      <c r="F7" s="729"/>
      <c r="G7" s="729"/>
      <c r="H7" s="729"/>
      <c r="I7" s="729"/>
      <c r="J7" s="729" t="s">
        <v>214</v>
      </c>
      <c r="K7" s="728" t="s">
        <v>215</v>
      </c>
      <c r="L7" s="728"/>
      <c r="M7" s="728"/>
      <c r="N7" s="728"/>
      <c r="O7" s="728"/>
      <c r="P7" s="728"/>
      <c r="Q7" s="728"/>
      <c r="R7" s="728"/>
      <c r="S7" s="728"/>
      <c r="T7" s="202"/>
      <c r="U7" s="731" t="s">
        <v>216</v>
      </c>
      <c r="V7" s="69"/>
      <c r="W7" s="69"/>
      <c r="X7" s="69"/>
      <c r="Y7" s="69"/>
      <c r="Z7" s="69"/>
      <c r="AA7" s="69"/>
      <c r="AB7" s="266"/>
      <c r="AC7" s="266"/>
      <c r="AD7" s="266"/>
      <c r="AE7" s="266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</row>
    <row r="8" spans="1:64" s="73" customFormat="1" ht="15.75" customHeight="1">
      <c r="A8" s="730"/>
      <c r="B8" s="463" t="s">
        <v>217</v>
      </c>
      <c r="C8" s="463" t="s">
        <v>218</v>
      </c>
      <c r="D8" s="463" t="s">
        <v>219</v>
      </c>
      <c r="E8" s="463" t="s">
        <v>220</v>
      </c>
      <c r="F8" s="463" t="s">
        <v>85</v>
      </c>
      <c r="G8" s="463" t="s">
        <v>86</v>
      </c>
      <c r="H8" s="463" t="s">
        <v>221</v>
      </c>
      <c r="I8" s="463" t="s">
        <v>222</v>
      </c>
      <c r="J8" s="729"/>
      <c r="K8" s="463" t="str">
        <f>IF('Fill white Cells '!E11=1, "CPS", "GPF")</f>
        <v>GPF</v>
      </c>
      <c r="L8" s="463" t="s">
        <v>51</v>
      </c>
      <c r="M8" s="463" t="s">
        <v>223</v>
      </c>
      <c r="N8" s="463" t="s">
        <v>52</v>
      </c>
      <c r="O8" s="463" t="s">
        <v>224</v>
      </c>
      <c r="P8" s="463" t="s">
        <v>225</v>
      </c>
      <c r="Q8" s="463" t="s">
        <v>226</v>
      </c>
      <c r="R8" s="463" t="s">
        <v>227</v>
      </c>
      <c r="S8" s="463" t="s">
        <v>228</v>
      </c>
      <c r="T8" s="203"/>
      <c r="U8" s="732"/>
      <c r="V8" s="74"/>
      <c r="W8" s="281"/>
      <c r="X8" s="281"/>
      <c r="Y8" s="281" t="s">
        <v>229</v>
      </c>
      <c r="Z8" s="74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</row>
    <row r="9" spans="1:64" s="81" customFormat="1" ht="13.5" customHeight="1">
      <c r="A9" s="342">
        <v>45352</v>
      </c>
      <c r="B9" s="15">
        <f>'Fill white Cells '!C23</f>
        <v>0</v>
      </c>
      <c r="C9" s="15"/>
      <c r="D9" s="15">
        <f>'Fill white Cells '!D23+'Fill white Cells '!G23</f>
        <v>0</v>
      </c>
      <c r="E9" s="15">
        <f>(ROUND(B9*('Fill white Cells '!C27/100),0))</f>
        <v>0</v>
      </c>
      <c r="F9" s="15">
        <f>'Fill white Cells '!E23</f>
        <v>0</v>
      </c>
      <c r="G9" s="15">
        <f>'Fill white Cells '!F23</f>
        <v>0</v>
      </c>
      <c r="H9" s="15">
        <f>'Fill white Cells '!$H$23</f>
        <v>0</v>
      </c>
      <c r="I9" s="15">
        <f>'Fill white Cells '!$I$23</f>
        <v>0</v>
      </c>
      <c r="J9" s="166">
        <f t="shared" ref="J9:J20" si="0">SUM(B9:I9)</f>
        <v>0</v>
      </c>
      <c r="K9" s="15">
        <f>(IF('Fill white Cells '!$E$11=1,ROUND((B9+C9+E9)*10%,0)+'Fill white Cells '!C29,'Fill white Cells '!C29))</f>
        <v>0</v>
      </c>
      <c r="L9" s="15">
        <f>'Fill white Cells '!K23</f>
        <v>0</v>
      </c>
      <c r="M9" s="15">
        <f>'Fill white Cells '!J23</f>
        <v>0</v>
      </c>
      <c r="N9" s="15">
        <f>'Fill white Cells '!L23</f>
        <v>0</v>
      </c>
      <c r="O9" s="15">
        <f>'Fill white Cells '!$M$23</f>
        <v>0</v>
      </c>
      <c r="P9" s="15">
        <f>'Fill white Cells '!$N$23</f>
        <v>0</v>
      </c>
      <c r="Q9" s="15">
        <f>IF('Fill white Cells '!C31&gt;=0,'Fill white Cells '!C31,IF(ROUND('OLD front'!E63/12,0)&lt;0,0,ROUND('OLD front'!E63/12,0)))</f>
        <v>0</v>
      </c>
      <c r="R9" s="167">
        <f t="shared" ref="R9:R18" si="1">ROUND((Q9*4/100),0)</f>
        <v>0</v>
      </c>
      <c r="S9" s="168">
        <f>SUM(K9:R9)</f>
        <v>0</v>
      </c>
      <c r="T9" s="169">
        <f>SUM(K9:R9)</f>
        <v>0</v>
      </c>
      <c r="U9" s="170"/>
      <c r="V9" s="59"/>
      <c r="W9" s="91"/>
      <c r="X9" s="91"/>
      <c r="Y9" s="91">
        <f>J9-S9-W9-X9</f>
        <v>0</v>
      </c>
      <c r="Z9" s="59"/>
      <c r="AA9" s="59"/>
      <c r="AB9" s="268"/>
      <c r="AC9" s="268"/>
      <c r="AD9" s="268"/>
      <c r="AE9" s="268"/>
      <c r="AF9" s="101"/>
      <c r="AG9" s="101"/>
      <c r="AH9" s="101" t="str">
        <f>IF(AND(Z9&gt;10600,Z9&lt;11899),"640",IF(AND(Z9&gt;11900,Z9&lt;13769),"760",IF(AND(Z9&gt;13770,Z9&lt;14509),"880",IF(AND(Z9&gt;14510,Z9&lt;15999),"1000",IF(AND(Z9&gt;16000,Z9&lt;17299),"1120",IF(AND(Z9&gt;17300,Z9&lt;19529),"1240",IF(AND(Z9&gt;19530,Z9&lt;20089),"1360",IF(Z9&gt;20089,"1400","0"))))))))</f>
        <v>0</v>
      </c>
      <c r="AI9" s="269" t="s">
        <v>28</v>
      </c>
      <c r="AJ9" s="269"/>
      <c r="AK9" s="269"/>
      <c r="AL9" s="270"/>
      <c r="AM9" s="270" t="s">
        <v>37</v>
      </c>
      <c r="AN9" s="270" t="s">
        <v>39</v>
      </c>
      <c r="AO9" s="101"/>
      <c r="AP9" s="101">
        <f t="shared" ref="AP9:AP17" si="2">E9</f>
        <v>0</v>
      </c>
      <c r="AQ9" s="101">
        <f>(ROUND((B9+C9+D9)*1.25,0))</f>
        <v>0</v>
      </c>
      <c r="AR9" s="101">
        <f t="shared" ref="AR9:AR17" si="3">AQ9-AP9</f>
        <v>0</v>
      </c>
      <c r="AS9" s="101">
        <f>AR9*3</f>
        <v>0</v>
      </c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</row>
    <row r="10" spans="1:64" s="81" customFormat="1" ht="13.5" customHeight="1">
      <c r="A10" s="342">
        <v>45383</v>
      </c>
      <c r="B10" s="15">
        <f>IF(AB13=4,AC19,B9)</f>
        <v>0</v>
      </c>
      <c r="C10" s="15"/>
      <c r="D10" s="15">
        <f>D9</f>
        <v>0</v>
      </c>
      <c r="E10" s="15">
        <f>(ROUND(B10*('Fill white Cells '!D27/100),0))</f>
        <v>0</v>
      </c>
      <c r="F10" s="15">
        <f>IF(B10&lt;=AJ10,AK10, IF(B10&lt;=AJ11,AK11, IF(B10&lt;=AJ12,AK12, IF(B10&lt;=AJ13,AK13, IF(B10&lt;=AJ14,AK14, IF(B10&lt;=AJ15,AK15, IF(B10&lt;=AJ16,AK16, IF(B10&lt;=AJ17,AK17, IF(B10&lt;=AJ18,AK18, IF(B10&lt;=AJ19,AK19, IF(B10&lt;=AJ20,AK20, IF(B10&lt;=AJ21,AK21, IF(B10&lt;=AJ22,AK22, IF(B10&lt;=AJ23,AK23, IF(B10&lt;=AJ24,AK24, IF(B10&lt;=AJ25,AK25, IF(B10&gt;=AJ26,AK26, 0)))))))))))))))))</f>
        <v>0</v>
      </c>
      <c r="G10" s="15">
        <f>G9</f>
        <v>0</v>
      </c>
      <c r="H10" s="15">
        <f>H9</f>
        <v>0</v>
      </c>
      <c r="I10" s="15">
        <f>I9</f>
        <v>0</v>
      </c>
      <c r="J10" s="166">
        <f t="shared" si="0"/>
        <v>0</v>
      </c>
      <c r="K10" s="15">
        <f>IF('Fill white Cells '!$E$11=1,ROUND((B10+C10+E10)*10%,0)+'Fill white Cells '!D29,'Fill white Cells '!D29)</f>
        <v>0</v>
      </c>
      <c r="L10" s="15">
        <f>$L$9</f>
        <v>0</v>
      </c>
      <c r="M10" s="15">
        <f>M9</f>
        <v>0</v>
      </c>
      <c r="N10" s="15">
        <f>$N$9</f>
        <v>0</v>
      </c>
      <c r="O10" s="15">
        <f>'Fill white Cells '!$M$23</f>
        <v>0</v>
      </c>
      <c r="P10" s="15">
        <f>'Fill white Cells '!$N$23</f>
        <v>0</v>
      </c>
      <c r="Q10" s="15">
        <f>IF('Fill white Cells '!D31&gt;0,'Fill white Cells '!D31,IF(ROUND(('OLD front'!E63-(Q9+Q26+Q27+Q28+Q29))/11,0)&lt;0,0,ROUND(('OLD front'!E63-(Q9+Q26+Q27+Q28+Q29))/11,0)))</f>
        <v>0</v>
      </c>
      <c r="R10" s="167">
        <f t="shared" si="1"/>
        <v>0</v>
      </c>
      <c r="S10" s="168">
        <f t="shared" ref="S10:S20" si="4">SUM(K10:R10)</f>
        <v>0</v>
      </c>
      <c r="T10" s="169">
        <f t="shared" ref="T10:T26" si="5">SUM(K10:R10)</f>
        <v>0</v>
      </c>
      <c r="U10" s="170"/>
      <c r="V10" s="59"/>
      <c r="W10" s="91"/>
      <c r="X10" s="91"/>
      <c r="Y10" s="91">
        <f t="shared" ref="Y10:Y20" si="6">J10-S10-W10-X10</f>
        <v>0</v>
      </c>
      <c r="Z10" s="59"/>
      <c r="AB10" s="101"/>
      <c r="AC10" s="101"/>
      <c r="AD10" s="101"/>
      <c r="AE10" s="101"/>
      <c r="AF10" s="101"/>
      <c r="AG10" s="101"/>
      <c r="AH10" s="101" t="str">
        <f t="shared" ref="AH10:AH21" si="7">IF(AND(Z10&gt;10600,Z10&lt;11899),"640",IF(AND(Z10&gt;11900,Z10&lt;13769),"760",IF(AND(Z10&gt;13770,Z10&lt;14509),"880",IF(AND(Z10&gt;14510,Z10&lt;15999),"1000",IF(AND(Z10&gt;16000,Z10&lt;17299),"1120",IF(AND(Z10&gt;17300,Z10&lt;19529),"1240",IF(AND(Z10&gt;19530,Z10&lt;20089),"1360",IF(Z10&gt;20089,"1400","0"))))))))</f>
        <v>0</v>
      </c>
      <c r="AI10" s="271">
        <v>13600</v>
      </c>
      <c r="AJ10" s="12">
        <v>13600</v>
      </c>
      <c r="AK10" s="12">
        <f>'Fill white Cells '!AE52</f>
        <v>0</v>
      </c>
      <c r="AL10" s="271">
        <f>IF('Fill white Cells '!E12=AM9,AM10, AN10)</f>
        <v>250</v>
      </c>
      <c r="AM10" s="271">
        <v>400</v>
      </c>
      <c r="AN10" s="271">
        <v>250</v>
      </c>
      <c r="AO10" s="101"/>
      <c r="AP10" s="101">
        <f t="shared" si="2"/>
        <v>0</v>
      </c>
      <c r="AQ10" s="101">
        <f>(ROUND((B10+C10+D10)*1.25,0))</f>
        <v>0</v>
      </c>
      <c r="AR10" s="101">
        <f t="shared" si="3"/>
        <v>0</v>
      </c>
      <c r="AS10" s="101">
        <f>AR10</f>
        <v>0</v>
      </c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K10" s="101"/>
      <c r="BL10" s="101"/>
    </row>
    <row r="11" spans="1:64" s="81" customFormat="1" ht="13.5" customHeight="1">
      <c r="A11" s="342">
        <v>45413</v>
      </c>
      <c r="B11" s="15">
        <f>B10</f>
        <v>0</v>
      </c>
      <c r="C11" s="15"/>
      <c r="D11" s="15">
        <f t="shared" ref="D11:D19" si="8">D10</f>
        <v>0</v>
      </c>
      <c r="E11" s="15">
        <f>(ROUND(B11*('Fill white Cells '!E27/100),0))</f>
        <v>0</v>
      </c>
      <c r="F11" s="15">
        <f>IF(B11&lt;=AJ10,AK10, IF(B11&lt;=AJ11,AK11, IF(B11&lt;=AJ12,AK12, IF(B11&lt;=AJ13,AK13, IF(B11&lt;=AJ14,AK14, IF(B11&lt;=AJ15,AK15, IF(B11&lt;=AJ16,AK16, IF(B11&lt;=AJ17,AK17, IF(B11&lt;=AJ18,AK18, IF(B11&lt;=AJ19,AK19, IF(B11&lt;=AJ20,AK20, IF(B11&lt;=AJ21,AK21, IF(B11&lt;=AJ22,AK22, IF(B11&lt;=AJ23,AK23, IF(B11&lt;=AJ24,AK24, IF(B11&lt;=AJ25,AK25, IF(B11&gt;=AJ26,AK26, 0)))))))))))))))))</f>
        <v>0</v>
      </c>
      <c r="G11" s="15">
        <f t="shared" ref="G11:G17" si="9">G10</f>
        <v>0</v>
      </c>
      <c r="H11" s="15">
        <f t="shared" ref="H11:H19" si="10">H10</f>
        <v>0</v>
      </c>
      <c r="I11" s="15">
        <f t="shared" ref="I11:I19" si="11">I10</f>
        <v>0</v>
      </c>
      <c r="J11" s="166">
        <f t="shared" si="0"/>
        <v>0</v>
      </c>
      <c r="K11" s="15">
        <f>IF('Fill white Cells '!$E$11=1,ROUND((B11+C11+E11)*10%,0)+'Fill white Cells '!E29, 'Fill white Cells '!E29)</f>
        <v>0</v>
      </c>
      <c r="L11" s="15">
        <f t="shared" ref="L11:L14" si="12">$L$9</f>
        <v>0</v>
      </c>
      <c r="M11" s="15">
        <f t="shared" ref="M11:M19" si="13">M10</f>
        <v>0</v>
      </c>
      <c r="N11" s="15">
        <f t="shared" ref="N11:N20" si="14">$N$9</f>
        <v>0</v>
      </c>
      <c r="O11" s="15">
        <f>'Fill white Cells '!$M$23</f>
        <v>0</v>
      </c>
      <c r="P11" s="15">
        <f>'Fill white Cells '!$N$23</f>
        <v>0</v>
      </c>
      <c r="Q11" s="15">
        <f>IF('Fill white Cells '!E31&gt;0,'Fill white Cells '!E31,IF(ROUND(('OLD front'!E63-(Q9+Q10+Q26+Q27+Q28+Q29))/10,0)&lt;0,0,ROUND(('OLD front'!E63-(Q9+Q10+Q26+Q27+Q28+Q29))/10,0)))</f>
        <v>0</v>
      </c>
      <c r="R11" s="167">
        <f t="shared" si="1"/>
        <v>0</v>
      </c>
      <c r="S11" s="168">
        <f t="shared" si="4"/>
        <v>0</v>
      </c>
      <c r="T11" s="169">
        <f t="shared" si="5"/>
        <v>0</v>
      </c>
      <c r="U11" s="170"/>
      <c r="V11" s="59"/>
      <c r="W11" s="91"/>
      <c r="X11" s="91"/>
      <c r="Y11" s="91">
        <f t="shared" si="6"/>
        <v>0</v>
      </c>
      <c r="Z11" s="59"/>
      <c r="AB11" s="101"/>
      <c r="AC11" s="101"/>
      <c r="AD11" s="101"/>
      <c r="AE11" s="101"/>
      <c r="AF11" s="101"/>
      <c r="AG11" s="101"/>
      <c r="AH11" s="101" t="str">
        <f t="shared" si="7"/>
        <v>0</v>
      </c>
      <c r="AI11" s="271">
        <v>17200</v>
      </c>
      <c r="AJ11" s="12">
        <v>17200</v>
      </c>
      <c r="AK11" s="12">
        <f>'Fill white Cells '!AE53</f>
        <v>0</v>
      </c>
      <c r="AL11" s="271">
        <f>IF(AL10=AM10,AM11, AN11)</f>
        <v>300</v>
      </c>
      <c r="AM11" s="271">
        <v>450</v>
      </c>
      <c r="AN11" s="271">
        <v>300</v>
      </c>
      <c r="AO11" s="101"/>
      <c r="AP11" s="101">
        <f t="shared" si="2"/>
        <v>0</v>
      </c>
      <c r="AQ11" s="101">
        <f>(ROUND((B11+C11+D11)*1.25,0))</f>
        <v>0</v>
      </c>
      <c r="AR11" s="101">
        <f t="shared" si="3"/>
        <v>0</v>
      </c>
      <c r="AS11" s="101">
        <f>AS9+AS10</f>
        <v>0</v>
      </c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64" s="81" customFormat="1" ht="13.5" customHeight="1">
      <c r="A12" s="342">
        <v>45444</v>
      </c>
      <c r="B12" s="15">
        <f>B11</f>
        <v>0</v>
      </c>
      <c r="C12" s="15"/>
      <c r="D12" s="15">
        <f t="shared" si="8"/>
        <v>0</v>
      </c>
      <c r="E12" s="15">
        <f>(ROUND(B12*('Fill white Cells '!F27/100),0))</f>
        <v>0</v>
      </c>
      <c r="F12" s="15">
        <f>IF(B12&lt;=AJ10,AK10, IF(B12&lt;=AJ11,AK11, IF(B12&lt;=AJ12,AK12, IF(B12&lt;=AJ13,AK13, IF(B12&lt;=AJ14,AK14, IF(B12&lt;=AJ15,AK15, IF(B12&lt;=AJ16,AK16, IF(B12&lt;=AJ17,AK17, IF(B12&lt;=AJ18,AK18, IF(B12&lt;=AJ19,AK19, IF(B12&lt;=AJ20,AK20, IF(B12&lt;=AJ21,AK21, IF(B12&lt;=AJ22,AK22, IF(B12&lt;=AJ23,AK23, IF(B12&lt;=AJ24,AK24, IF(B12&lt;=AJ25,AK25, IF(B12&gt;=AJ26,AK26, 0)))))))))))))))))</f>
        <v>0</v>
      </c>
      <c r="G12" s="15">
        <f t="shared" si="9"/>
        <v>0</v>
      </c>
      <c r="H12" s="15">
        <f t="shared" si="10"/>
        <v>0</v>
      </c>
      <c r="I12" s="15">
        <f t="shared" si="11"/>
        <v>0</v>
      </c>
      <c r="J12" s="166">
        <f t="shared" si="0"/>
        <v>0</v>
      </c>
      <c r="K12" s="15">
        <f>(IF('Fill white Cells '!$E$11=1,ROUND((B12+C12+E12)*10%,0)+'Fill white Cells '!F29,'Fill white Cells '!F29))</f>
        <v>0</v>
      </c>
      <c r="L12" s="15">
        <f t="shared" si="12"/>
        <v>0</v>
      </c>
      <c r="M12" s="15">
        <f t="shared" si="13"/>
        <v>0</v>
      </c>
      <c r="N12" s="15">
        <f t="shared" si="14"/>
        <v>0</v>
      </c>
      <c r="O12" s="15">
        <f>'Fill white Cells '!$M$23</f>
        <v>0</v>
      </c>
      <c r="P12" s="15">
        <f>'Fill white Cells '!$N$23</f>
        <v>0</v>
      </c>
      <c r="Q12" s="15">
        <f>IF('Fill white Cells '!F31&gt;0,'Fill white Cells '!F31,IF(ROUND(('OLD front'!E63-(Q9+Q10+Q11+Q26+Q27+Q28+Q29))/9,0)&lt;0,0,ROUND(('OLD front'!E63-(Q9+Q10+Q11+Q26+Q27+Q28+Q29))/9,0)))</f>
        <v>0</v>
      </c>
      <c r="R12" s="167">
        <f t="shared" si="1"/>
        <v>0</v>
      </c>
      <c r="S12" s="168">
        <f t="shared" si="4"/>
        <v>0</v>
      </c>
      <c r="T12" s="169">
        <f t="shared" si="5"/>
        <v>0</v>
      </c>
      <c r="U12" s="170"/>
      <c r="V12" s="59"/>
      <c r="W12" s="91"/>
      <c r="X12" s="91"/>
      <c r="Y12" s="91">
        <f t="shared" si="6"/>
        <v>0</v>
      </c>
      <c r="Z12" s="59"/>
      <c r="AA12" s="101"/>
      <c r="AB12" s="101"/>
      <c r="AC12" s="101"/>
      <c r="AD12" s="101"/>
      <c r="AE12" s="101"/>
      <c r="AF12" s="101"/>
      <c r="AG12" s="101"/>
      <c r="AH12" s="101" t="str">
        <f t="shared" si="7"/>
        <v>0</v>
      </c>
      <c r="AI12" s="271">
        <v>21000</v>
      </c>
      <c r="AJ12" s="12">
        <v>21000</v>
      </c>
      <c r="AK12" s="12">
        <f>'Fill white Cells '!AE54</f>
        <v>0</v>
      </c>
      <c r="AL12" s="271">
        <f t="shared" ref="AL12:AL25" si="15">IF(AL11=AM11,AM12, AN12)</f>
        <v>350</v>
      </c>
      <c r="AM12" s="271">
        <v>500</v>
      </c>
      <c r="AN12" s="271">
        <v>350</v>
      </c>
      <c r="AO12" s="101"/>
      <c r="AP12" s="101">
        <f t="shared" si="2"/>
        <v>0</v>
      </c>
      <c r="AQ12" s="101">
        <f>(ROUND((B12+C12+D12)*1.25,0))</f>
        <v>0</v>
      </c>
      <c r="AR12" s="101">
        <f t="shared" si="3"/>
        <v>0</v>
      </c>
      <c r="AS12" s="101">
        <v>1229</v>
      </c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</row>
    <row r="13" spans="1:64" s="81" customFormat="1" ht="13.5" customHeight="1">
      <c r="A13" s="342">
        <v>45474</v>
      </c>
      <c r="B13" s="15">
        <f>IF(AB13=7,AC19,B12)</f>
        <v>0</v>
      </c>
      <c r="C13" s="15"/>
      <c r="D13" s="15">
        <f t="shared" si="8"/>
        <v>0</v>
      </c>
      <c r="E13" s="15">
        <f>(ROUND(B13*('Fill white Cells '!G27/100),0))</f>
        <v>0</v>
      </c>
      <c r="F13" s="15">
        <f>IF(B13&lt;=AJ10,AK10, IF(B13&lt;=AJ11,AK11, IF(B13&lt;=AJ12,AK12, IF(B13&lt;=AJ13,AK13, IF(B13&lt;=AJ14,AK14, IF(B13&lt;=AJ15,AK15, IF(B13&lt;=AJ16,AK16, IF(B13&lt;=AJ17,AK17, IF(B13&lt;=AJ18,AK18, IF(B13&lt;=AJ19,AK19, IF(B13&lt;=AJ20,AK20, IF(B13&lt;=AJ21,AK21, IF(B13&lt;=AJ22,AK22, IF(B13&lt;=AJ23,AK23, IF(B13&lt;=AJ24,AK24, IF(B13&lt;=AJ25,AK25, IF(B13&gt;=AJ26,AK26, 0)))))))))))))))))</f>
        <v>0</v>
      </c>
      <c r="G13" s="15">
        <f t="shared" si="9"/>
        <v>0</v>
      </c>
      <c r="H13" s="15">
        <f t="shared" si="10"/>
        <v>0</v>
      </c>
      <c r="I13" s="15">
        <f t="shared" si="11"/>
        <v>0</v>
      </c>
      <c r="J13" s="166">
        <f t="shared" si="0"/>
        <v>0</v>
      </c>
      <c r="K13" s="15">
        <f>(IF('Fill white Cells '!$E$11=1,ROUND((B13+C13+E13)*10%,0)+'Fill white Cells '!G29,'Fill white Cells '!G29))</f>
        <v>0</v>
      </c>
      <c r="L13" s="15">
        <f t="shared" si="12"/>
        <v>0</v>
      </c>
      <c r="M13" s="15">
        <f>IF(M9=180, 300, M9)</f>
        <v>0</v>
      </c>
      <c r="N13" s="15">
        <f t="shared" si="14"/>
        <v>0</v>
      </c>
      <c r="O13" s="15">
        <f>'Fill white Cells '!$M$23</f>
        <v>0</v>
      </c>
      <c r="P13" s="15">
        <f>'Fill white Cells '!$N$23</f>
        <v>0</v>
      </c>
      <c r="Q13" s="15">
        <f>IF('Fill white Cells '!G31&gt;0,'Fill white Cells '!G31,IF(ROUND(('OLD front'!E63-(Q9+Q10+Q11+Q12+Q26+Q27+Q28+Q29))/8,0)&lt;0,0,ROUND(('OLD front'!E63-(Q9+Q10+Q11+Q12+Q26+Q27+Q28+Q29))/8,0)))</f>
        <v>0</v>
      </c>
      <c r="R13" s="167">
        <f t="shared" si="1"/>
        <v>0</v>
      </c>
      <c r="S13" s="168">
        <f t="shared" si="4"/>
        <v>0</v>
      </c>
      <c r="T13" s="169">
        <f t="shared" si="5"/>
        <v>0</v>
      </c>
      <c r="U13" s="170"/>
      <c r="V13" s="59"/>
      <c r="W13" s="91"/>
      <c r="X13" s="91"/>
      <c r="Y13" s="91">
        <f t="shared" si="6"/>
        <v>0</v>
      </c>
      <c r="Z13" s="59"/>
      <c r="AA13" s="59"/>
      <c r="AB13" s="101">
        <f>'Fill white Cells '!E10</f>
        <v>0</v>
      </c>
      <c r="AC13" s="101"/>
      <c r="AD13" s="272">
        <v>0.06</v>
      </c>
      <c r="AE13" s="101"/>
      <c r="AF13" s="101"/>
      <c r="AG13" s="101"/>
      <c r="AH13" s="101" t="str">
        <f t="shared" si="7"/>
        <v>0</v>
      </c>
      <c r="AI13" s="271">
        <v>23900</v>
      </c>
      <c r="AJ13" s="12">
        <v>23900</v>
      </c>
      <c r="AK13" s="12">
        <f>'Fill white Cells '!AE55</f>
        <v>0</v>
      </c>
      <c r="AL13" s="271">
        <f t="shared" si="15"/>
        <v>400</v>
      </c>
      <c r="AM13" s="271">
        <v>700</v>
      </c>
      <c r="AN13" s="271">
        <v>400</v>
      </c>
      <c r="AO13" s="101"/>
      <c r="AP13" s="101">
        <f t="shared" si="2"/>
        <v>0</v>
      </c>
      <c r="AQ13" s="101">
        <f>(ROUND((B13+C13+D13)*1.32,0))</f>
        <v>0</v>
      </c>
      <c r="AR13" s="101">
        <f t="shared" si="3"/>
        <v>0</v>
      </c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</row>
    <row r="14" spans="1:64" s="81" customFormat="1" ht="13.5" customHeight="1">
      <c r="A14" s="342">
        <v>45505</v>
      </c>
      <c r="B14" s="15">
        <f>B13</f>
        <v>0</v>
      </c>
      <c r="C14" s="15"/>
      <c r="D14" s="15">
        <f t="shared" si="8"/>
        <v>0</v>
      </c>
      <c r="E14" s="15">
        <f>(ROUND(B14*('Fill white Cells '!H27/100),0))</f>
        <v>0</v>
      </c>
      <c r="F14" s="15">
        <f>IF(B14&lt;=AJ10,AK10, IF(B14&lt;=AJ11,AK11, IF(B14&lt;=AJ12,AK12, IF(B14&lt;=AJ13,AK13, IF(B14&lt;=AJ14,AK14, IF(B14&lt;=AJ15,AK15, IF(B14&lt;=AJ16,AK16, IF(B14&lt;=AJ17,AK17, IF(B14&lt;=AJ18,AK18, IF(B14&lt;=AJ19,AK19, IF(B14&lt;=AJ20,AK20, IF(B14&lt;=AJ21,AK21, IF(B14&lt;=AJ22,AK22, IF(B14&lt;=AJ23,AK23, IF(B14&lt;=AJ24,AK24, IF(B14&lt;=AJ25,AK25, IF(B14&gt;=AJ26,AK26, 0)))))))))))))))))</f>
        <v>0</v>
      </c>
      <c r="G14" s="15">
        <f t="shared" si="9"/>
        <v>0</v>
      </c>
      <c r="H14" s="15">
        <f t="shared" si="10"/>
        <v>0</v>
      </c>
      <c r="I14" s="15">
        <f t="shared" si="11"/>
        <v>0</v>
      </c>
      <c r="J14" s="166">
        <f t="shared" si="0"/>
        <v>0</v>
      </c>
      <c r="K14" s="15">
        <f>(IF('Fill white Cells '!$E$11=1,ROUND((B14+C14+E14)*10%,0)+'Fill white Cells '!H29,'Fill white Cells '!H29))</f>
        <v>0</v>
      </c>
      <c r="L14" s="15">
        <f t="shared" si="12"/>
        <v>0</v>
      </c>
      <c r="M14" s="15">
        <f t="shared" si="13"/>
        <v>0</v>
      </c>
      <c r="N14" s="15">
        <f t="shared" si="14"/>
        <v>0</v>
      </c>
      <c r="O14" s="15">
        <f>'Fill white Cells '!$M$23</f>
        <v>0</v>
      </c>
      <c r="P14" s="15">
        <f>'Fill white Cells '!$N$23</f>
        <v>0</v>
      </c>
      <c r="Q14" s="15">
        <f>IF('Fill white Cells '!H31&gt;0,'Fill white Cells '!H31,IF(ROUND(('OLD front'!E63-(Q9+Q10+Q11+Q12+Q13+Q26+Q27+Q28+Q29))/7,0)&lt;0,0,ROUND(('OLD front'!E63-(Q9+Q10+Q11+Q12+Q13+Q26+Q27+Q28+Q29))/7,0)))</f>
        <v>0</v>
      </c>
      <c r="R14" s="167">
        <f t="shared" si="1"/>
        <v>0</v>
      </c>
      <c r="S14" s="168">
        <f t="shared" si="4"/>
        <v>0</v>
      </c>
      <c r="T14" s="169">
        <f t="shared" si="5"/>
        <v>0</v>
      </c>
      <c r="U14" s="170">
        <f>'Fill white Cells '!M35</f>
        <v>0</v>
      </c>
      <c r="V14" s="59"/>
      <c r="W14" s="91"/>
      <c r="X14" s="91"/>
      <c r="Y14" s="91">
        <f t="shared" si="6"/>
        <v>0</v>
      </c>
      <c r="Z14" s="59"/>
      <c r="AB14" s="101">
        <f>IF(AB13=1,((B15+C15)*3/100+B14),)</f>
        <v>0</v>
      </c>
      <c r="AC14" s="101">
        <f>IF(AC13=1,((C15+D15)*3/100+C14),)</f>
        <v>0</v>
      </c>
      <c r="AD14" s="101"/>
      <c r="AE14" s="101"/>
      <c r="AF14" s="101"/>
      <c r="AG14" s="101"/>
      <c r="AH14" s="101" t="str">
        <f t="shared" si="7"/>
        <v>0</v>
      </c>
      <c r="AI14" s="271">
        <v>27200</v>
      </c>
      <c r="AJ14" s="12">
        <v>27200</v>
      </c>
      <c r="AK14" s="12">
        <f>'Fill white Cells '!AE56</f>
        <v>0</v>
      </c>
      <c r="AL14" s="271">
        <f t="shared" si="15"/>
        <v>400</v>
      </c>
      <c r="AM14" s="271">
        <v>800</v>
      </c>
      <c r="AN14" s="271">
        <v>400</v>
      </c>
      <c r="AO14" s="101">
        <v>1220</v>
      </c>
      <c r="AP14" s="101">
        <f t="shared" si="2"/>
        <v>0</v>
      </c>
      <c r="AQ14" s="101">
        <f>(ROUND((B14+C14+D14)*1.32,0))</f>
        <v>0</v>
      </c>
      <c r="AR14" s="101">
        <f t="shared" si="3"/>
        <v>0</v>
      </c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</row>
    <row r="15" spans="1:64" s="81" customFormat="1" ht="13.5" customHeight="1">
      <c r="A15" s="342">
        <v>45536</v>
      </c>
      <c r="B15" s="15">
        <f>B14</f>
        <v>0</v>
      </c>
      <c r="C15" s="15"/>
      <c r="D15" s="15">
        <f t="shared" si="8"/>
        <v>0</v>
      </c>
      <c r="E15" s="15">
        <f>(ROUND(B15*('Fill white Cells '!I27/100),0))</f>
        <v>0</v>
      </c>
      <c r="F15" s="15">
        <f>IF(B15&lt;=AJ10,AK10, IF(B15&lt;=AJ11,AK11, IF(B15&lt;=AJ12,AK12, IF(B15&lt;=AJ13,AK13, IF(B15&lt;=AJ14,AK14, IF(B15&lt;=AJ15,AK15, IF(B15&lt;=AJ16,AK16, IF(B15&lt;=AJ17,AK17, IF(B15&lt;=AJ18,AK18, IF(B15&lt;=AJ19,AK19, IF(B15&lt;=AJ20,AK20, IF(B15&lt;=AJ21,AK21, IF(B15&lt;=AJ22,AK22, IF(B15&lt;=AJ23,AK23, IF(B15&lt;=AJ24,AK24, IF(B15&lt;=AJ25,AK25, IF(B15&gt;=AJ26,AK26, 0)))))))))))))))))</f>
        <v>0</v>
      </c>
      <c r="G15" s="15">
        <f t="shared" si="9"/>
        <v>0</v>
      </c>
      <c r="H15" s="15">
        <f t="shared" si="10"/>
        <v>0</v>
      </c>
      <c r="I15" s="15">
        <f t="shared" si="11"/>
        <v>0</v>
      </c>
      <c r="J15" s="166">
        <f t="shared" si="0"/>
        <v>0</v>
      </c>
      <c r="K15" s="15">
        <f>(IF('Fill white Cells '!$E$11=1,ROUND((B15+C15+E15)*10%,0)+'Fill white Cells '!I29,'Fill white Cells '!I29))</f>
        <v>0</v>
      </c>
      <c r="L15" s="15">
        <f>IF($L$9=60, 110, L9)</f>
        <v>0</v>
      </c>
      <c r="M15" s="15">
        <f t="shared" si="13"/>
        <v>0</v>
      </c>
      <c r="N15" s="15">
        <f t="shared" si="14"/>
        <v>0</v>
      </c>
      <c r="O15" s="15">
        <f>'Fill white Cells '!$M$23</f>
        <v>0</v>
      </c>
      <c r="P15" s="15">
        <f>'Fill white Cells '!$N$23</f>
        <v>0</v>
      </c>
      <c r="Q15" s="15">
        <f>IF('Fill white Cells '!I31&gt;0,'Fill white Cells '!I31,IF(ROUND(('OLD front'!E63-(Q9+Q10+Q11+Q12+Q13+Q14+Q26+Q27+Q28+Q29))/6,0)&lt;0,0,ROUND(('OLD front'!E63-(Q9+Q10+Q11+Q12+Q13+Q14+Q26+Q27+Q28+Q29))/6,0)))</f>
        <v>0</v>
      </c>
      <c r="R15" s="167">
        <f t="shared" si="1"/>
        <v>0</v>
      </c>
      <c r="S15" s="168">
        <f t="shared" si="4"/>
        <v>0</v>
      </c>
      <c r="T15" s="169">
        <f t="shared" si="5"/>
        <v>0</v>
      </c>
      <c r="U15" s="170"/>
      <c r="V15" s="59"/>
      <c r="W15" s="91"/>
      <c r="X15" s="91"/>
      <c r="Y15" s="91">
        <f t="shared" si="6"/>
        <v>0</v>
      </c>
      <c r="Z15" s="59"/>
      <c r="AB15" s="101">
        <f>IF(AB13=4,((B9+C10)*3/100+B9),)</f>
        <v>0</v>
      </c>
      <c r="AC15" s="101"/>
      <c r="AD15" s="101"/>
      <c r="AE15" s="101"/>
      <c r="AF15" s="101">
        <f>43760-4342</f>
        <v>39418</v>
      </c>
      <c r="AG15" s="101"/>
      <c r="AH15" s="101" t="str">
        <f t="shared" si="7"/>
        <v>0</v>
      </c>
      <c r="AI15" s="271">
        <v>30600</v>
      </c>
      <c r="AJ15" s="12">
        <v>30600</v>
      </c>
      <c r="AK15" s="12">
        <f>'Fill white Cells '!AE57</f>
        <v>0</v>
      </c>
      <c r="AL15" s="271">
        <f t="shared" si="15"/>
        <v>450</v>
      </c>
      <c r="AM15" s="271">
        <v>1000</v>
      </c>
      <c r="AN15" s="271">
        <v>450</v>
      </c>
      <c r="AO15" s="101"/>
      <c r="AP15" s="101">
        <f t="shared" si="2"/>
        <v>0</v>
      </c>
      <c r="AQ15" s="101">
        <f>(ROUND((B15+C15+D15)*1.32,0))</f>
        <v>0</v>
      </c>
      <c r="AR15" s="101">
        <f t="shared" si="3"/>
        <v>0</v>
      </c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</row>
    <row r="16" spans="1:64" s="81" customFormat="1" ht="13.5" customHeight="1">
      <c r="A16" s="342">
        <v>45566</v>
      </c>
      <c r="B16" s="15">
        <f>IF(AB13=10,AC19,B15)</f>
        <v>0</v>
      </c>
      <c r="C16" s="15"/>
      <c r="D16" s="15">
        <f t="shared" si="8"/>
        <v>0</v>
      </c>
      <c r="E16" s="15">
        <f>(ROUND(B16*('Fill white Cells '!J27/100),0))</f>
        <v>0</v>
      </c>
      <c r="F16" s="15">
        <f>IF(B16&lt;=AJ10,AK10, IF(B16&lt;=AJ11,AK11, IF(B16&lt;=AJ12,AK12, IF(B16&lt;=AJ13,AK13, IF(B16&lt;=AJ14,AK14, IF(B16&lt;=AJ15,AK15, IF(B16&lt;=AJ16,AK16, IF(B16&lt;=AJ17,AK17, IF(B16&lt;=AJ18,AK18, IF(B16&lt;=AJ19,AK19, IF(B16&lt;=AJ20,AK20, IF(B16&lt;=AJ21,AK21, IF(B16&lt;=AJ22,AK22, IF(B16&lt;=AJ23,AK23, IF(B16&lt;=AJ24,AK24, IF(B16&lt;=AJ25,AK25, IF(B16&gt;=AJ26,AK26, 0)))))))))))))))))</f>
        <v>0</v>
      </c>
      <c r="G16" s="15">
        <f t="shared" si="9"/>
        <v>0</v>
      </c>
      <c r="H16" s="15">
        <f t="shared" si="10"/>
        <v>0</v>
      </c>
      <c r="I16" s="15">
        <f>I15</f>
        <v>0</v>
      </c>
      <c r="J16" s="166">
        <f t="shared" si="0"/>
        <v>0</v>
      </c>
      <c r="K16" s="15">
        <f>(IF('Fill white Cells '!$E$11=1,ROUND((B16+C16+E16)*10%,0)+'Fill white Cells '!J29,'Fill white Cells '!J29))</f>
        <v>0</v>
      </c>
      <c r="L16" s="15">
        <f>L15</f>
        <v>0</v>
      </c>
      <c r="M16" s="15">
        <f t="shared" si="13"/>
        <v>0</v>
      </c>
      <c r="N16" s="15">
        <f t="shared" si="14"/>
        <v>0</v>
      </c>
      <c r="O16" s="15">
        <f>'Fill white Cells '!$M$23</f>
        <v>0</v>
      </c>
      <c r="P16" s="15">
        <f>'Fill white Cells '!$N$23</f>
        <v>0</v>
      </c>
      <c r="Q16" s="15">
        <f>IF('Fill white Cells '!J31&gt;0,'Fill white Cells '!J31,IF(ROUND(('OLD front'!E63-(Q9+Q10+Q11+Q12+Q13+Q14+Q15+Q26+Q27+Q28+Q29))/5,0)&lt;0,0,ROUND(('OLD front'!E63-(Q9+Q10+Q11+Q12+Q13+Q14+Q15+Q26+Q27+Q28+Q29))/5,0)))</f>
        <v>0</v>
      </c>
      <c r="R16" s="167">
        <f t="shared" si="1"/>
        <v>0</v>
      </c>
      <c r="S16" s="168">
        <f t="shared" si="4"/>
        <v>0</v>
      </c>
      <c r="T16" s="169">
        <f t="shared" si="5"/>
        <v>0</v>
      </c>
      <c r="U16" s="170"/>
      <c r="V16" s="59"/>
      <c r="W16" s="91"/>
      <c r="X16" s="91"/>
      <c r="Y16" s="91">
        <f t="shared" si="6"/>
        <v>0</v>
      </c>
      <c r="Z16" s="59"/>
      <c r="AB16" s="101">
        <f>IF(AB13=7,((B12+C12)*3/100+B12),)</f>
        <v>0</v>
      </c>
      <c r="AC16" s="101"/>
      <c r="AD16" s="101"/>
      <c r="AE16" s="101"/>
      <c r="AF16" s="101">
        <f>AF15-AF14</f>
        <v>39418</v>
      </c>
      <c r="AG16" s="101"/>
      <c r="AH16" s="101" t="str">
        <f t="shared" si="7"/>
        <v>0</v>
      </c>
      <c r="AI16" s="271">
        <v>35400</v>
      </c>
      <c r="AJ16" s="12">
        <v>35400</v>
      </c>
      <c r="AK16" s="12">
        <f>'Fill white Cells '!AE58</f>
        <v>0</v>
      </c>
      <c r="AL16" s="271">
        <f t="shared" si="15"/>
        <v>500</v>
      </c>
      <c r="AM16" s="271">
        <v>1200</v>
      </c>
      <c r="AN16" s="271">
        <v>500</v>
      </c>
      <c r="AO16" s="101"/>
      <c r="AP16" s="101">
        <f t="shared" si="2"/>
        <v>0</v>
      </c>
      <c r="AQ16" s="101">
        <f>(ROUND((B16+C16+D16)*1.32,0))</f>
        <v>0</v>
      </c>
      <c r="AR16" s="101">
        <f t="shared" si="3"/>
        <v>0</v>
      </c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</row>
    <row r="17" spans="1:64" s="81" customFormat="1" ht="13.5" customHeight="1">
      <c r="A17" s="342">
        <v>45597</v>
      </c>
      <c r="B17" s="15">
        <f>B16</f>
        <v>0</v>
      </c>
      <c r="C17" s="15"/>
      <c r="D17" s="15">
        <f t="shared" si="8"/>
        <v>0</v>
      </c>
      <c r="E17" s="15">
        <f>(ROUND(B17*('Fill white Cells '!K27/100),0))</f>
        <v>0</v>
      </c>
      <c r="F17" s="15">
        <f>IF(B17&lt;=AJ10,AK10, IF(B17&lt;=AJ11,AK11, IF(B17&lt;=AJ12,AK12, IF(B17&lt;=AJ13,AK13, IF(B17&lt;=AJ14,AK14, IF(B17&lt;=AJ15,AK15, IF(B17&lt;=AJ16,AK16, IF(B17&lt;=AJ17,AK17, IF(B17&lt;=AJ18,AK18, IF(B17&lt;=AJ19,AK19, IF(B17&lt;=AJ20,AK20, IF(B17&lt;=AJ21,AK21, IF(B17&lt;=AJ22,AK22, IF(B17&lt;=AJ23,AK23, IF(B17&lt;=AJ24,AK24, IF(B17&lt;=AJ25,AK25, IF(B17&gt;=AJ26,AK26, 0)))))))))))))))))</f>
        <v>0</v>
      </c>
      <c r="G17" s="15">
        <f t="shared" si="9"/>
        <v>0</v>
      </c>
      <c r="H17" s="15">
        <f t="shared" si="10"/>
        <v>0</v>
      </c>
      <c r="I17" s="15">
        <f t="shared" si="11"/>
        <v>0</v>
      </c>
      <c r="J17" s="166">
        <f t="shared" si="0"/>
        <v>0</v>
      </c>
      <c r="K17" s="15">
        <f>(IF('Fill white Cells '!$E$11=1,ROUND((B17+C17+E17)*10%,0)+'Fill white Cells '!K29,'Fill white Cells '!K29))</f>
        <v>0</v>
      </c>
      <c r="L17" s="15">
        <f>L15</f>
        <v>0</v>
      </c>
      <c r="M17" s="15">
        <f t="shared" si="13"/>
        <v>0</v>
      </c>
      <c r="N17" s="15">
        <f t="shared" si="14"/>
        <v>0</v>
      </c>
      <c r="O17" s="15">
        <f>'Fill white Cells '!$M$23</f>
        <v>0</v>
      </c>
      <c r="P17" s="15">
        <f>'Fill white Cells '!$N$23</f>
        <v>0</v>
      </c>
      <c r="Q17" s="15">
        <f>IF('Fill white Cells '!K31&gt;0,'Fill white Cells '!K31,IF(ROUND(('OLD front'!E63-(Q9+Q10+Q11+Q12+Q13+Q14+Q15+Q16+Q26+Q27+Q28+Q29))/4,0)&lt;0,0,ROUND(('OLD front'!E63-(Q9+Q10+Q11+Q12+Q13+Q14+Q15+Q16+Q26+Q27+Q28+Q29))/4,0)))</f>
        <v>0</v>
      </c>
      <c r="R17" s="167">
        <f t="shared" si="1"/>
        <v>0</v>
      </c>
      <c r="S17" s="168">
        <f t="shared" si="4"/>
        <v>0</v>
      </c>
      <c r="T17" s="169">
        <f t="shared" si="5"/>
        <v>0</v>
      </c>
      <c r="U17" s="170"/>
      <c r="V17" s="59"/>
      <c r="W17" s="91"/>
      <c r="X17" s="91"/>
      <c r="Y17" s="91">
        <f t="shared" si="6"/>
        <v>0</v>
      </c>
      <c r="Z17" s="59"/>
      <c r="AB17" s="101">
        <f>IF(AB13=10,((B15+C15)*3/100+B15),)</f>
        <v>0</v>
      </c>
      <c r="AC17" s="101"/>
      <c r="AD17" s="101"/>
      <c r="AE17" s="101"/>
      <c r="AF17" s="101"/>
      <c r="AG17" s="101"/>
      <c r="AH17" s="101" t="str">
        <f t="shared" si="7"/>
        <v>0</v>
      </c>
      <c r="AI17" s="271">
        <v>37300</v>
      </c>
      <c r="AJ17" s="12">
        <v>37300</v>
      </c>
      <c r="AK17" s="12">
        <f>'Fill white Cells '!AE59</f>
        <v>0</v>
      </c>
      <c r="AL17" s="271">
        <f t="shared" si="15"/>
        <v>550</v>
      </c>
      <c r="AM17" s="271">
        <v>1500</v>
      </c>
      <c r="AN17" s="271">
        <v>550</v>
      </c>
      <c r="AO17" s="101"/>
      <c r="AP17" s="101">
        <f t="shared" si="2"/>
        <v>0</v>
      </c>
      <c r="AQ17" s="101">
        <f>(ROUND((B17+C17+D17)*1.32,0))</f>
        <v>0</v>
      </c>
      <c r="AR17" s="101">
        <f t="shared" si="3"/>
        <v>0</v>
      </c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</row>
    <row r="18" spans="1:64" s="81" customFormat="1" ht="13.5" customHeight="1">
      <c r="A18" s="342">
        <v>45627</v>
      </c>
      <c r="B18" s="15">
        <f>B17</f>
        <v>0</v>
      </c>
      <c r="C18" s="15"/>
      <c r="D18" s="15">
        <f t="shared" si="8"/>
        <v>0</v>
      </c>
      <c r="E18" s="15">
        <f>(ROUND(B18*('Fill white Cells '!L27/100),0))</f>
        <v>0</v>
      </c>
      <c r="F18" s="15">
        <f>IF(B18&lt;=AJ10,AK10, IF(B18&lt;=AJ11,AK11, IF(B18&lt;=AJ12,AK12, IF(B18&lt;=AJ13,AK13, IF(B18&lt;=AJ14,AK14, IF(B18&lt;=AJ15,AK15, IF(B18&lt;=AJ16,AK16, IF(B18&lt;=AJ17,AK17, IF(B18&lt;=AJ18,AK18, IF(B18&lt;=AJ19,AK19, IF(B18&lt;=AJ20,AK20, IF(B18&lt;=AJ21,AK21, IF(B18&lt;=AJ22,AK22, IF(B18&lt;=AJ23,AK23, IF(B18&lt;=AJ24,AK24, IF(B18&lt;=AJ25,AK25, IF(B18&gt;=AJ26,AK26, 0)))))))))))))))))</f>
        <v>0</v>
      </c>
      <c r="G18" s="15">
        <f t="shared" ref="G18:G19" si="16">G17</f>
        <v>0</v>
      </c>
      <c r="H18" s="15">
        <f t="shared" si="10"/>
        <v>0</v>
      </c>
      <c r="I18" s="15">
        <f t="shared" si="11"/>
        <v>0</v>
      </c>
      <c r="J18" s="166">
        <f t="shared" si="0"/>
        <v>0</v>
      </c>
      <c r="K18" s="15">
        <f>(IF('Fill white Cells '!$E$11=1,ROUND((B18+C18+E18)*10%,0)+'Fill white Cells '!L29,'Fill white Cells '!L29))</f>
        <v>0</v>
      </c>
      <c r="L18" s="15">
        <f>L15</f>
        <v>0</v>
      </c>
      <c r="M18" s="15">
        <f t="shared" si="13"/>
        <v>0</v>
      </c>
      <c r="N18" s="15">
        <f t="shared" si="14"/>
        <v>0</v>
      </c>
      <c r="O18" s="15">
        <f>'Fill white Cells '!$M$23</f>
        <v>0</v>
      </c>
      <c r="P18" s="15">
        <f>'Fill white Cells '!$N$23</f>
        <v>0</v>
      </c>
      <c r="Q18" s="15">
        <f>IF('Fill white Cells '!L31&gt;0,'Fill white Cells '!L31,IF(ROUND(('OLD front'!E63-(Q9+Q10+Q11+Q12+Q13+Q14+Q15+Q16+Q17+Q26+Q27+Q28+Q29))/3,0)&lt;0,0,ROUND(('OLD front'!E63-(Q9+Q10+Q11+Q12+Q13+Q14+Q15+Q16+Q17+Q26+Q27+Q28+Q29))/3,0)))</f>
        <v>0</v>
      </c>
      <c r="R18" s="167">
        <f t="shared" si="1"/>
        <v>0</v>
      </c>
      <c r="S18" s="168">
        <f t="shared" si="4"/>
        <v>0</v>
      </c>
      <c r="T18" s="169">
        <f t="shared" si="5"/>
        <v>0</v>
      </c>
      <c r="U18" s="170"/>
      <c r="V18" s="59"/>
      <c r="W18" s="91"/>
      <c r="X18" s="91"/>
      <c r="Y18" s="91">
        <f t="shared" si="6"/>
        <v>0</v>
      </c>
      <c r="Z18" s="59"/>
      <c r="AB18" s="101"/>
      <c r="AC18" s="101"/>
      <c r="AD18" s="101"/>
      <c r="AE18" s="101"/>
      <c r="AF18" s="101"/>
      <c r="AG18" s="101">
        <f>41384-4104</f>
        <v>37280</v>
      </c>
      <c r="AH18" s="101" t="str">
        <f t="shared" si="7"/>
        <v>0</v>
      </c>
      <c r="AI18" s="271">
        <v>41100</v>
      </c>
      <c r="AJ18" s="12">
        <v>41100</v>
      </c>
      <c r="AK18" s="12">
        <f>'Fill white Cells '!AE60</f>
        <v>0</v>
      </c>
      <c r="AL18" s="271">
        <f t="shared" si="15"/>
        <v>600</v>
      </c>
      <c r="AM18" s="271">
        <v>1700</v>
      </c>
      <c r="AN18" s="271">
        <v>600</v>
      </c>
      <c r="AO18" s="101"/>
      <c r="AP18" s="101"/>
      <c r="AQ18" s="101"/>
      <c r="AR18" s="101">
        <f>SUM(AR13:AR17)</f>
        <v>0</v>
      </c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</row>
    <row r="19" spans="1:64" s="81" customFormat="1" ht="13.5" customHeight="1">
      <c r="A19" s="342">
        <v>45658</v>
      </c>
      <c r="B19" s="15">
        <f>IF(AB13=1,AC19,B18)</f>
        <v>0</v>
      </c>
      <c r="C19" s="15"/>
      <c r="D19" s="15">
        <f t="shared" si="8"/>
        <v>0</v>
      </c>
      <c r="E19" s="15">
        <f>(ROUND(B19*('Fill white Cells '!M27/100),0))</f>
        <v>0</v>
      </c>
      <c r="F19" s="15">
        <f>IF(B19&lt;=AJ10,AK10, IF(B19&lt;=AJ11,AK11, IF(B19&lt;=AJ12,AK12, IF(B19&lt;=AJ13,AK13, IF(B19&lt;=AJ14,AK14, IF(B19&lt;=AJ15,AK15, IF(B19&lt;=AJ16,AK16, IF(B19&lt;=AJ17,AK17, IF(B19&lt;=AJ18,AK18, IF(B19&lt;=AJ19,AK19, IF(B19&lt;=AJ20,AK20, IF(B19&lt;=AJ21,AK21, IF(B19&lt;=AJ22,AK22, IF(B19&lt;=AJ23,AK23, IF(B19&lt;=AJ24,AK24, IF(B19&lt;=AJ25,AK25, IF(B19&gt;=AJ26,AK26, 0)))))))))))))))))</f>
        <v>0</v>
      </c>
      <c r="G19" s="15">
        <f t="shared" si="16"/>
        <v>0</v>
      </c>
      <c r="H19" s="15">
        <f t="shared" si="10"/>
        <v>0</v>
      </c>
      <c r="I19" s="15">
        <f t="shared" si="11"/>
        <v>0</v>
      </c>
      <c r="J19" s="166">
        <f t="shared" si="0"/>
        <v>0</v>
      </c>
      <c r="K19" s="15">
        <f>(IF('Fill white Cells '!$E$11=1,ROUND((B19+C19+E19)*10%,0)+'Fill white Cells '!M29,'Fill white Cells '!M29))</f>
        <v>0</v>
      </c>
      <c r="L19" s="15">
        <f>L15</f>
        <v>0</v>
      </c>
      <c r="M19" s="15">
        <f t="shared" si="13"/>
        <v>0</v>
      </c>
      <c r="N19" s="15">
        <f t="shared" si="14"/>
        <v>0</v>
      </c>
      <c r="O19" s="15">
        <f>'Fill white Cells '!$M$23</f>
        <v>0</v>
      </c>
      <c r="P19" s="15">
        <f>'Fill white Cells '!$N$23</f>
        <v>0</v>
      </c>
      <c r="Q19" s="15">
        <f>IF('Fill white Cells '!M31&gt;0,'Fill white Cells '!M31,IF(ROUND(('OLD front'!E63-(Q9+Q10+Q11+Q12+Q13+Q14+Q15+Q16+Q17+Q18+Q26+Q27+Q28+Q29))/2,0)&lt;0,0,ROUND(('OLD front'!E63-(Q9+Q10+Q11+Q12+Q13+Q14+Q15+Q16+Q17+Q18+Q26+Q27+Q28+Q29))/2,0)))</f>
        <v>0</v>
      </c>
      <c r="R19" s="167">
        <f>ROUND((Q19*4/100),0)</f>
        <v>0</v>
      </c>
      <c r="S19" s="168">
        <f t="shared" si="4"/>
        <v>0</v>
      </c>
      <c r="T19" s="169">
        <f t="shared" si="5"/>
        <v>0</v>
      </c>
      <c r="U19" s="170">
        <f>'Fill white Cells '!N35</f>
        <v>0</v>
      </c>
      <c r="V19" s="59"/>
      <c r="W19" s="91"/>
      <c r="X19" s="91"/>
      <c r="Y19" s="91">
        <f t="shared" si="6"/>
        <v>0</v>
      </c>
      <c r="Z19" s="59"/>
      <c r="AB19" s="101">
        <f>ROUND(SUM(AB14:AB17),-2)</f>
        <v>0</v>
      </c>
      <c r="AC19" s="101">
        <f>ROUNDUP(AB19,-1)</f>
        <v>0</v>
      </c>
      <c r="AD19" s="101"/>
      <c r="AE19" s="101"/>
      <c r="AF19" s="101"/>
      <c r="AG19" s="101"/>
      <c r="AH19" s="101" t="str">
        <f t="shared" si="7"/>
        <v>0</v>
      </c>
      <c r="AI19" s="271">
        <v>44500</v>
      </c>
      <c r="AJ19" s="12">
        <v>44500</v>
      </c>
      <c r="AK19" s="12">
        <f>'Fill white Cells '!AE61</f>
        <v>0</v>
      </c>
      <c r="AL19" s="271">
        <f t="shared" si="15"/>
        <v>650</v>
      </c>
      <c r="AM19" s="271">
        <v>1900</v>
      </c>
      <c r="AN19" s="271">
        <v>650</v>
      </c>
      <c r="AO19" s="101">
        <v>1220</v>
      </c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</row>
    <row r="20" spans="1:64" s="81" customFormat="1" ht="13.5" customHeight="1">
      <c r="A20" s="342">
        <v>45689</v>
      </c>
      <c r="B20" s="15">
        <f>B19</f>
        <v>0</v>
      </c>
      <c r="C20" s="15"/>
      <c r="D20" s="15">
        <f>D19</f>
        <v>0</v>
      </c>
      <c r="E20" s="15">
        <f>(ROUND(B20*('Fill white Cells '!N27/100),0))</f>
        <v>0</v>
      </c>
      <c r="F20" s="15">
        <f>IF(B20&lt;=AJ10,AK10, IF(B20&lt;=AJ11,AK11, IF(B20&lt;=AJ12,AK12, IF(B20&lt;=AJ13,AK13, IF(B20&lt;=AJ14,AK14, IF(B20&lt;=AJ15,AK15, IF(B20&lt;=AJ16,AK16, IF(B20&lt;=AJ17,AK17, IF(B20&lt;=AJ18,AK18, IF(B20&lt;=AJ19,AK19, IF(B20&lt;=AJ20,AK20, IF(B20&lt;=AJ21,AK21, IF(B20&lt;=AJ22,AK22, IF(B20&lt;=AJ23,AK23, IF(B20&lt;=AJ24,AK24, IF(B20&lt;=AJ25,AK25, IF(B20&gt;=AJ26,AK26, 0)))))))))))))))))</f>
        <v>0</v>
      </c>
      <c r="G20" s="15">
        <f>G19</f>
        <v>0</v>
      </c>
      <c r="H20" s="15">
        <f>H19</f>
        <v>0</v>
      </c>
      <c r="I20" s="15">
        <f>I19</f>
        <v>0</v>
      </c>
      <c r="J20" s="166">
        <f t="shared" si="0"/>
        <v>0</v>
      </c>
      <c r="K20" s="15">
        <f>(IF('Fill white Cells '!$E$11=1,ROUND((B20+C20+E20)*10%,0)+'Fill white Cells '!N29,'Fill white Cells '!N29))</f>
        <v>0</v>
      </c>
      <c r="L20" s="15">
        <f>L15</f>
        <v>0</v>
      </c>
      <c r="M20" s="15">
        <f>M19</f>
        <v>0</v>
      </c>
      <c r="N20" s="15">
        <f t="shared" si="14"/>
        <v>0</v>
      </c>
      <c r="O20" s="15">
        <f>'Fill white Cells '!$M$23</f>
        <v>0</v>
      </c>
      <c r="P20" s="15">
        <f>'Fill white Cells '!$N$23</f>
        <v>0</v>
      </c>
      <c r="Q20" s="15">
        <f>IF('Fill white Cells '!N31&gt;0,'Fill white Cells '!N31,IF(('OLD front'!E63-('OLD back'!Q9+'OLD back'!Q10+'OLD back'!Q11+'OLD back'!Q12+'OLD back'!Q13+'OLD back'!Q14+'OLD back'!Q15+'OLD back'!Q16+'OLD back'!Q17+'OLD back'!Q18+'OLD back'!Q19+'OLD back'!Q26+'OLD back'!Q27+'OLD back'!RQ8+'OLD back'!Q29))&gt;0,('OLD front'!E63-('OLD back'!Q9+'OLD back'!Q10+'OLD back'!Q11+'OLD back'!Q12+'OLD back'!Q13+'OLD back'!Q14+'OLD back'!Q15+'OLD back'!Q16+'OLD back'!Q17+'OLD back'!Q18+'OLD back'!Q19+'OLD back'!Q26+'OLD back'!Q27+'OLD back'!RQ8+'OLD back'!Q29)),0))</f>
        <v>0</v>
      </c>
      <c r="R20" s="167">
        <f>ROUND((Q20*4/100),0)</f>
        <v>0</v>
      </c>
      <c r="S20" s="169">
        <f t="shared" si="4"/>
        <v>0</v>
      </c>
      <c r="T20" s="169">
        <f t="shared" si="5"/>
        <v>0</v>
      </c>
      <c r="U20" s="170"/>
      <c r="V20" s="59"/>
      <c r="W20" s="91"/>
      <c r="X20" s="91"/>
      <c r="Y20" s="91">
        <f t="shared" si="6"/>
        <v>0</v>
      </c>
      <c r="Z20" s="59"/>
      <c r="AB20" s="101"/>
      <c r="AC20" s="101"/>
      <c r="AD20" s="101"/>
      <c r="AE20" s="101"/>
      <c r="AF20" s="101"/>
      <c r="AG20" s="101">
        <f>43760*23.6/100</f>
        <v>10327.36</v>
      </c>
      <c r="AH20" s="101" t="str">
        <f t="shared" si="7"/>
        <v>0</v>
      </c>
      <c r="AI20" s="271">
        <v>50200</v>
      </c>
      <c r="AJ20" s="12">
        <v>50200</v>
      </c>
      <c r="AK20" s="12">
        <f>'Fill white Cells '!AE62</f>
        <v>0</v>
      </c>
      <c r="AL20" s="271">
        <f>IF(AL19=AM19,AM20, AN20)</f>
        <v>650</v>
      </c>
      <c r="AM20" s="271">
        <v>2000</v>
      </c>
      <c r="AN20" s="271">
        <v>650</v>
      </c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>
        <f>Q9+Q10+Q11+Q12+Q13+Q14+Q15+Q16+Q17+Q18+Q19+Q26+Q27+Q28+Q29</f>
        <v>0</v>
      </c>
      <c r="BK20" s="273">
        <f>R9+R10+R11+R12+R13+R14+R15+R16+R17+R18+R19+R26+R27+R28+R29</f>
        <v>0</v>
      </c>
      <c r="BL20" s="101"/>
    </row>
    <row r="21" spans="1:64" s="89" customFormat="1" ht="15.75" hidden="1">
      <c r="A21" s="343" t="s">
        <v>230</v>
      </c>
      <c r="B21" s="171">
        <f>SUM(B9:B20)</f>
        <v>0</v>
      </c>
      <c r="C21" s="171">
        <f t="shared" ref="C21:S21" si="17">SUM(C9:C20)</f>
        <v>0</v>
      </c>
      <c r="D21" s="171">
        <f t="shared" si="17"/>
        <v>0</v>
      </c>
      <c r="E21" s="171">
        <f t="shared" si="17"/>
        <v>0</v>
      </c>
      <c r="F21" s="171">
        <f t="shared" si="17"/>
        <v>0</v>
      </c>
      <c r="G21" s="171">
        <f t="shared" si="17"/>
        <v>0</v>
      </c>
      <c r="H21" s="171">
        <f t="shared" si="17"/>
        <v>0</v>
      </c>
      <c r="I21" s="171">
        <f t="shared" si="17"/>
        <v>0</v>
      </c>
      <c r="J21" s="171">
        <f t="shared" si="17"/>
        <v>0</v>
      </c>
      <c r="K21" s="171">
        <f t="shared" si="17"/>
        <v>0</v>
      </c>
      <c r="L21" s="171">
        <f t="shared" si="17"/>
        <v>0</v>
      </c>
      <c r="M21" s="171">
        <f t="shared" si="17"/>
        <v>0</v>
      </c>
      <c r="N21" s="171">
        <f t="shared" si="17"/>
        <v>0</v>
      </c>
      <c r="O21" s="171">
        <f t="shared" si="17"/>
        <v>0</v>
      </c>
      <c r="P21" s="171">
        <f t="shared" si="17"/>
        <v>0</v>
      </c>
      <c r="Q21" s="171">
        <f t="shared" si="17"/>
        <v>0</v>
      </c>
      <c r="R21" s="171">
        <f t="shared" si="17"/>
        <v>0</v>
      </c>
      <c r="S21" s="172">
        <f t="shared" si="17"/>
        <v>0</v>
      </c>
      <c r="T21" s="171">
        <f t="shared" ref="T21" si="18">SUM(T9:T20)</f>
        <v>0</v>
      </c>
      <c r="U21" s="245">
        <f t="shared" ref="U21" si="19">SUM(U9:U20)</f>
        <v>0</v>
      </c>
      <c r="V21" s="84"/>
      <c r="W21" s="279">
        <f>SUM(W9:W20)</f>
        <v>0</v>
      </c>
      <c r="X21" s="279">
        <f>SUM(X9:X20)</f>
        <v>0</v>
      </c>
      <c r="Y21" s="280">
        <f>SUM(Y9:Y20)</f>
        <v>0</v>
      </c>
      <c r="Z21" s="182"/>
      <c r="AB21" s="263"/>
      <c r="AC21" s="263"/>
      <c r="AD21" s="263"/>
      <c r="AE21" s="263"/>
      <c r="AF21" s="263"/>
      <c r="AG21" s="263">
        <f>43760+AG20</f>
        <v>54087.360000000001</v>
      </c>
      <c r="AH21" s="263" t="str">
        <f t="shared" si="7"/>
        <v>0</v>
      </c>
      <c r="AI21" s="271">
        <v>51600</v>
      </c>
      <c r="AJ21" s="12">
        <v>51600</v>
      </c>
      <c r="AK21" s="12">
        <f>'Fill white Cells '!AE67</f>
        <v>0</v>
      </c>
      <c r="AL21" s="271">
        <f t="shared" si="15"/>
        <v>700</v>
      </c>
      <c r="AM21" s="271">
        <v>2200</v>
      </c>
      <c r="AN21" s="271">
        <v>700</v>
      </c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3"/>
      <c r="BA21" s="263"/>
      <c r="BB21" s="263"/>
      <c r="BC21" s="274"/>
      <c r="BD21" s="263"/>
      <c r="BE21" s="263"/>
      <c r="BF21" s="263"/>
      <c r="BG21" s="263"/>
      <c r="BH21" s="263"/>
      <c r="BI21" s="263"/>
      <c r="BJ21" s="263"/>
      <c r="BK21" s="263"/>
      <c r="BL21" s="263"/>
    </row>
    <row r="22" spans="1:64" s="81" customFormat="1" ht="15.75" hidden="1">
      <c r="A22" s="293"/>
      <c r="B22" s="15"/>
      <c r="C22" s="15"/>
      <c r="D22" s="15"/>
      <c r="E22" s="15"/>
      <c r="F22" s="15"/>
      <c r="G22" s="15"/>
      <c r="H22" s="15"/>
      <c r="I22" s="15"/>
      <c r="J22" s="166"/>
      <c r="K22" s="15" t="str">
        <f>IF('Fill white Cells '!$E$11=1,ROUND((B22+C22+E22)*10%,0)," ")</f>
        <v xml:space="preserve"> </v>
      </c>
      <c r="L22" s="15"/>
      <c r="M22" s="15"/>
      <c r="N22" s="15"/>
      <c r="O22" s="15"/>
      <c r="P22" s="15"/>
      <c r="Q22" s="15"/>
      <c r="R22" s="15"/>
      <c r="S22" s="169"/>
      <c r="T22" s="169">
        <f t="shared" si="5"/>
        <v>0</v>
      </c>
      <c r="U22" s="170"/>
      <c r="V22" s="59"/>
      <c r="W22" s="91"/>
      <c r="X22" s="91"/>
      <c r="Y22" s="77" t="e">
        <f>J22-K22</f>
        <v>#VALUE!</v>
      </c>
      <c r="Z22" s="59"/>
      <c r="AB22" s="101"/>
      <c r="AC22" s="101"/>
      <c r="AD22" s="101"/>
      <c r="AE22" s="101"/>
      <c r="AF22" s="101"/>
      <c r="AG22" s="101"/>
      <c r="AH22" s="101"/>
      <c r="AI22" s="271">
        <v>54000</v>
      </c>
      <c r="AJ22" s="12">
        <v>54000</v>
      </c>
      <c r="AK22" s="12">
        <f>'Fill white Cells '!AE68</f>
        <v>0</v>
      </c>
      <c r="AL22" s="271">
        <f t="shared" si="15"/>
        <v>750</v>
      </c>
      <c r="AM22" s="271">
        <v>2200</v>
      </c>
      <c r="AN22" s="271">
        <v>750</v>
      </c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</row>
    <row r="23" spans="1:64" s="81" customFormat="1" ht="15.75" hidden="1">
      <c r="A23" s="293"/>
      <c r="B23" s="15"/>
      <c r="C23" s="15"/>
      <c r="D23" s="15"/>
      <c r="E23" s="15"/>
      <c r="F23" s="15"/>
      <c r="G23" s="15"/>
      <c r="H23" s="15"/>
      <c r="I23" s="15"/>
      <c r="J23" s="166"/>
      <c r="K23" s="15" t="str">
        <f>IF('Fill white Cells '!$E$11=1,ROUND((B23+C23+E23)*10%,0)," ")</f>
        <v xml:space="preserve"> </v>
      </c>
      <c r="L23" s="15"/>
      <c r="M23" s="15"/>
      <c r="N23" s="15"/>
      <c r="O23" s="15"/>
      <c r="P23" s="15"/>
      <c r="Q23" s="15"/>
      <c r="R23" s="15"/>
      <c r="S23" s="169"/>
      <c r="T23" s="169">
        <f t="shared" si="5"/>
        <v>0</v>
      </c>
      <c r="U23" s="170"/>
      <c r="V23" s="59"/>
      <c r="W23" s="91"/>
      <c r="X23" s="91"/>
      <c r="Y23" s="77" t="e">
        <f>J23-K23</f>
        <v>#VALUE!</v>
      </c>
      <c r="Z23" s="59"/>
      <c r="AB23" s="101"/>
      <c r="AC23" s="101"/>
      <c r="AD23" s="101"/>
      <c r="AE23" s="101"/>
      <c r="AF23" s="101"/>
      <c r="AG23" s="101"/>
      <c r="AH23" s="101"/>
      <c r="AI23" s="271">
        <v>55500</v>
      </c>
      <c r="AJ23" s="12">
        <v>55500</v>
      </c>
      <c r="AK23" s="12">
        <f>'Fill white Cells '!AE69</f>
        <v>0</v>
      </c>
      <c r="AL23" s="271">
        <f t="shared" si="15"/>
        <v>800</v>
      </c>
      <c r="AM23" s="271">
        <v>2200</v>
      </c>
      <c r="AN23" s="271">
        <v>800</v>
      </c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</row>
    <row r="24" spans="1:64" s="81" customFormat="1" ht="13.5" hidden="1" customHeight="1">
      <c r="A24" s="293" t="s">
        <v>231</v>
      </c>
      <c r="B24" s="15">
        <f>IF($E$35=30,IF(F36=0,F37,F36),IF(F37=0,ROUND(F36/2,0),ROUND(F37/2,0)))</f>
        <v>0</v>
      </c>
      <c r="C24" s="15">
        <f>IF($E$35=30,IF(G36=0,G37,G36),IF(G37=0,ROUND(G36/2,0),ROUND(G37/2,0)))</f>
        <v>0</v>
      </c>
      <c r="D24" s="15">
        <f>IF($E$35=30,IF(H36=0,H37,H36),IF(H37=0,ROUND(H36/2,0),ROUND(H37/2,0)))</f>
        <v>0</v>
      </c>
      <c r="E24" s="15">
        <f>IF($E$35=30,IF(I36=0,I37,I36),IF(I37=0,ROUND(I36/2,0),ROUND(I37/2,0)))</f>
        <v>0</v>
      </c>
      <c r="F24" s="15">
        <f>IF($E$35=30,IF(J36=0,J37,J36),IF(J37=0,ROUND(J36/2,0),ROUND(J37/2,0)))</f>
        <v>0</v>
      </c>
      <c r="G24" s="15"/>
      <c r="H24" s="15"/>
      <c r="I24" s="15"/>
      <c r="J24" s="166">
        <f t="shared" ref="J24:J29" si="20">SUM(B24:I24)</f>
        <v>0</v>
      </c>
      <c r="K24" s="15"/>
      <c r="L24" s="15"/>
      <c r="M24" s="15"/>
      <c r="N24" s="15"/>
      <c r="O24" s="15"/>
      <c r="P24" s="15"/>
      <c r="Q24" s="15"/>
      <c r="R24" s="15"/>
      <c r="S24" s="169">
        <f t="shared" ref="S24:S29" si="21">SUM(K24:P24)</f>
        <v>0</v>
      </c>
      <c r="T24" s="169">
        <f t="shared" si="5"/>
        <v>0</v>
      </c>
      <c r="U24" s="170"/>
      <c r="AB24" s="101"/>
      <c r="AC24" s="101"/>
      <c r="AD24" s="101"/>
      <c r="AE24" s="101"/>
      <c r="AF24" s="101">
        <f>1198*8</f>
        <v>9584</v>
      </c>
      <c r="AG24" s="101">
        <f>19370*2.62</f>
        <v>50749.4</v>
      </c>
      <c r="AH24" s="101"/>
      <c r="AI24" s="271">
        <v>56900</v>
      </c>
      <c r="AJ24" s="12">
        <v>56900</v>
      </c>
      <c r="AK24" s="12">
        <f>'Fill white Cells '!AE76</f>
        <v>0</v>
      </c>
      <c r="AL24" s="271">
        <f t="shared" si="15"/>
        <v>850</v>
      </c>
      <c r="AM24" s="271">
        <v>2200</v>
      </c>
      <c r="AN24" s="271">
        <v>850</v>
      </c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</row>
    <row r="25" spans="1:64" s="81" customFormat="1" ht="13.5" customHeight="1">
      <c r="A25" s="293" t="s">
        <v>232</v>
      </c>
      <c r="B25" s="15"/>
      <c r="C25" s="15"/>
      <c r="D25" s="15"/>
      <c r="E25" s="15"/>
      <c r="F25" s="15"/>
      <c r="G25" s="15"/>
      <c r="H25" s="15"/>
      <c r="I25" s="15">
        <f>'Fill white Cells '!J35</f>
        <v>0</v>
      </c>
      <c r="J25" s="166">
        <f t="shared" si="20"/>
        <v>0</v>
      </c>
      <c r="K25" s="15"/>
      <c r="L25" s="15"/>
      <c r="M25" s="15"/>
      <c r="N25" s="15"/>
      <c r="O25" s="15"/>
      <c r="P25" s="15"/>
      <c r="Q25" s="15"/>
      <c r="R25" s="15"/>
      <c r="S25" s="169">
        <f t="shared" si="21"/>
        <v>0</v>
      </c>
      <c r="T25" s="169">
        <f t="shared" si="5"/>
        <v>0</v>
      </c>
      <c r="U25" s="170"/>
      <c r="AB25" s="101"/>
      <c r="AC25" s="101"/>
      <c r="AD25" s="101"/>
      <c r="AE25" s="101"/>
      <c r="AF25" s="101"/>
      <c r="AG25" s="101"/>
      <c r="AH25" s="101"/>
      <c r="AI25" s="271">
        <v>64200</v>
      </c>
      <c r="AJ25" s="12">
        <v>64200</v>
      </c>
      <c r="AK25" s="12">
        <f>'Fill white Cells '!AE77</f>
        <v>0</v>
      </c>
      <c r="AL25" s="271">
        <f t="shared" si="15"/>
        <v>850</v>
      </c>
      <c r="AM25" s="271">
        <v>2200</v>
      </c>
      <c r="AN25" s="271">
        <v>850</v>
      </c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64" s="81" customFormat="1" ht="13.5" customHeight="1">
      <c r="A26" s="293" t="str">
        <f>IF('Fill white Cells '!B39="","Arrear-I",'Fill white Cells '!B39)</f>
        <v>DA ARR 3M</v>
      </c>
      <c r="B26" s="15">
        <f>'Fill white Cells '!C39</f>
        <v>0</v>
      </c>
      <c r="C26" s="15">
        <f>'Fill white Cells '!D39</f>
        <v>0</v>
      </c>
      <c r="D26" s="15">
        <f>'Fill white Cells '!E39</f>
        <v>0</v>
      </c>
      <c r="E26" s="15">
        <f>'Fill white Cells '!F39</f>
        <v>0</v>
      </c>
      <c r="F26" s="15">
        <f>'Fill white Cells '!G39</f>
        <v>0</v>
      </c>
      <c r="G26" s="15">
        <f>'Fill white Cells '!H39</f>
        <v>0</v>
      </c>
      <c r="H26" s="15"/>
      <c r="I26" s="15">
        <f>'Fill white Cells '!I39</f>
        <v>0</v>
      </c>
      <c r="J26" s="166">
        <f t="shared" si="20"/>
        <v>0</v>
      </c>
      <c r="K26" s="15" t="str">
        <f>IF('Fill white Cells '!$E$11=1, 'Fill white Cells '!K39," ")</f>
        <v xml:space="preserve"> </v>
      </c>
      <c r="L26" s="15"/>
      <c r="M26" s="15"/>
      <c r="N26" s="15"/>
      <c r="O26" s="15"/>
      <c r="P26" s="15"/>
      <c r="Q26" s="15">
        <f>'Fill white Cells '!J39</f>
        <v>0</v>
      </c>
      <c r="R26" s="167">
        <f t="shared" ref="R26:R29" si="22">ROUND((Q26*4/100),0)</f>
        <v>0</v>
      </c>
      <c r="S26" s="169">
        <f t="shared" si="21"/>
        <v>0</v>
      </c>
      <c r="T26" s="169">
        <f t="shared" si="5"/>
        <v>0</v>
      </c>
      <c r="U26" s="170"/>
      <c r="V26" s="92"/>
      <c r="AB26" s="101"/>
      <c r="AC26" s="101"/>
      <c r="AD26" s="101">
        <f>1196-120</f>
        <v>1076</v>
      </c>
      <c r="AE26" s="101"/>
      <c r="AF26" s="101"/>
      <c r="AG26" s="101"/>
      <c r="AH26" s="101"/>
      <c r="AI26" s="271">
        <v>64201</v>
      </c>
      <c r="AJ26" s="12">
        <v>64201</v>
      </c>
      <c r="AK26" s="12">
        <f>'Fill white Cells '!AE80</f>
        <v>0</v>
      </c>
      <c r="AL26" s="271">
        <f>IF(AL25=AM25,AM26, AN26)</f>
        <v>850</v>
      </c>
      <c r="AM26" s="271">
        <v>2200</v>
      </c>
      <c r="AN26" s="271">
        <v>850</v>
      </c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</row>
    <row r="27" spans="1:64" s="81" customFormat="1" ht="13.5" customHeight="1">
      <c r="A27" s="293" t="str">
        <f>IF('Fill white Cells '!B40="","Arrear-II",'Fill white Cells '!B40)</f>
        <v>DA ARR 3M</v>
      </c>
      <c r="B27" s="15">
        <f>'Fill white Cells '!C40</f>
        <v>0</v>
      </c>
      <c r="C27" s="15"/>
      <c r="D27" s="15">
        <f>'Fill white Cells '!E40</f>
        <v>0</v>
      </c>
      <c r="E27" s="15">
        <f>'Fill white Cells '!F40</f>
        <v>0</v>
      </c>
      <c r="F27" s="15">
        <f>'Fill white Cells '!G40</f>
        <v>0</v>
      </c>
      <c r="G27" s="15">
        <f>'Fill white Cells '!H40</f>
        <v>0</v>
      </c>
      <c r="H27" s="15"/>
      <c r="I27" s="15">
        <f>'Fill white Cells '!I40</f>
        <v>0</v>
      </c>
      <c r="J27" s="166">
        <f t="shared" si="20"/>
        <v>0</v>
      </c>
      <c r="K27" s="15" t="str">
        <f>IF('Fill white Cells '!$E$11=1, 'Fill white Cells '!K40," ")</f>
        <v xml:space="preserve"> </v>
      </c>
      <c r="L27" s="15"/>
      <c r="M27" s="15"/>
      <c r="N27" s="15"/>
      <c r="O27" s="15"/>
      <c r="P27" s="15"/>
      <c r="Q27" s="15">
        <f>'Fill white Cells '!J40</f>
        <v>0</v>
      </c>
      <c r="R27" s="167">
        <f t="shared" si="22"/>
        <v>0</v>
      </c>
      <c r="S27" s="169">
        <f t="shared" si="21"/>
        <v>0</v>
      </c>
      <c r="T27" s="169"/>
      <c r="U27" s="170"/>
      <c r="V27" s="92"/>
      <c r="AB27" s="101"/>
      <c r="AC27" s="101"/>
      <c r="AD27" s="101"/>
      <c r="AE27" s="101"/>
      <c r="AF27" s="101"/>
      <c r="AG27" s="101"/>
      <c r="AH27" s="101"/>
      <c r="AI27" s="271"/>
      <c r="AJ27" s="12"/>
      <c r="AK27" s="12"/>
      <c r="AL27" s="271"/>
      <c r="AM27" s="271"/>
      <c r="AN27" s="27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</row>
    <row r="28" spans="1:64" s="81" customFormat="1" ht="13.5" customHeight="1">
      <c r="A28" s="293" t="str">
        <f>IF('Fill white Cells '!B41="","Arrear-III",'Fill white Cells '!B41)</f>
        <v>Arrear-III</v>
      </c>
      <c r="B28" s="15">
        <f>'Fill white Cells '!C41</f>
        <v>0</v>
      </c>
      <c r="C28" s="15"/>
      <c r="D28" s="15">
        <f>'Fill white Cells '!E41</f>
        <v>0</v>
      </c>
      <c r="E28" s="15">
        <f>'Fill white Cells '!F41</f>
        <v>0</v>
      </c>
      <c r="F28" s="15">
        <f>'Fill white Cells '!G41</f>
        <v>0</v>
      </c>
      <c r="G28" s="15">
        <f>'Fill white Cells '!H41</f>
        <v>0</v>
      </c>
      <c r="H28" s="15"/>
      <c r="I28" s="15">
        <f>'Fill white Cells '!I41</f>
        <v>0</v>
      </c>
      <c r="J28" s="166">
        <f t="shared" si="20"/>
        <v>0</v>
      </c>
      <c r="K28" s="15" t="str">
        <f>IF('Fill white Cells '!$E$11=1, 'Fill white Cells '!K41," ")</f>
        <v xml:space="preserve"> </v>
      </c>
      <c r="L28" s="15"/>
      <c r="M28" s="15"/>
      <c r="N28" s="15"/>
      <c r="O28" s="15"/>
      <c r="P28" s="15"/>
      <c r="Q28" s="15">
        <f>'Fill white Cells '!J41</f>
        <v>0</v>
      </c>
      <c r="R28" s="167">
        <f t="shared" si="22"/>
        <v>0</v>
      </c>
      <c r="S28" s="169">
        <f t="shared" si="21"/>
        <v>0</v>
      </c>
      <c r="T28" s="169"/>
      <c r="U28" s="170"/>
      <c r="V28" s="92"/>
      <c r="AB28" s="101"/>
      <c r="AC28" s="101"/>
      <c r="AD28" s="101"/>
      <c r="AE28" s="101"/>
      <c r="AF28" s="101"/>
      <c r="AG28" s="101"/>
      <c r="AH28" s="101"/>
      <c r="AI28" s="271"/>
      <c r="AJ28" s="12"/>
      <c r="AK28" s="12"/>
      <c r="AL28" s="271"/>
      <c r="AM28" s="271"/>
      <c r="AN28" s="27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</row>
    <row r="29" spans="1:64" s="81" customFormat="1" ht="13.5" customHeight="1">
      <c r="A29" s="293" t="str">
        <f>IF('Fill white Cells '!B42="","Arrear-IV",'Fill white Cells '!B42)</f>
        <v>Arrear-IV</v>
      </c>
      <c r="B29" s="15">
        <f>'Fill white Cells '!C42</f>
        <v>0</v>
      </c>
      <c r="C29" s="15">
        <f>'Fill white Cells '!D42</f>
        <v>0</v>
      </c>
      <c r="D29" s="15">
        <f>'Fill white Cells '!E42</f>
        <v>0</v>
      </c>
      <c r="E29" s="15">
        <f>'Fill white Cells '!F42</f>
        <v>0</v>
      </c>
      <c r="F29" s="15">
        <f>'Fill white Cells '!G42</f>
        <v>0</v>
      </c>
      <c r="G29" s="15">
        <f>'Fill white Cells '!H42</f>
        <v>0</v>
      </c>
      <c r="H29" s="15"/>
      <c r="I29" s="15">
        <f>'Fill white Cells '!I42</f>
        <v>0</v>
      </c>
      <c r="J29" s="166">
        <f t="shared" si="20"/>
        <v>0</v>
      </c>
      <c r="K29" s="15" t="str">
        <f>IF('Fill white Cells '!$E$11=1, 'Fill white Cells '!K42," ")</f>
        <v xml:space="preserve"> </v>
      </c>
      <c r="L29" s="15"/>
      <c r="M29" s="15"/>
      <c r="N29" s="15"/>
      <c r="O29" s="15"/>
      <c r="P29" s="15"/>
      <c r="Q29" s="15">
        <f>'Fill white Cells '!J42</f>
        <v>0</v>
      </c>
      <c r="R29" s="167">
        <f t="shared" si="22"/>
        <v>0</v>
      </c>
      <c r="S29" s="169">
        <f t="shared" si="21"/>
        <v>0</v>
      </c>
      <c r="T29" s="169"/>
      <c r="U29" s="170"/>
      <c r="V29" s="93"/>
      <c r="Z29" s="127">
        <f>IF('Fill white Cells '!E10=1,ROUND(((B20-B18)/31)*V29,0),IF('Fill white Cells '!E10=4,ROUND(((B11-B9)/30)*V29,0),IF('Fill white Cells '!E10=7,ROUND(((B14-B12)/31)*V29,0),IF('Fill white Cells '!E10=10,ROUND(((B17-B15)/31)*V29,0),0))))</f>
        <v>0</v>
      </c>
      <c r="AA29" s="127"/>
      <c r="AB29" s="275"/>
      <c r="AC29" s="275"/>
      <c r="AD29" s="275"/>
      <c r="AE29" s="275"/>
      <c r="AF29" s="275"/>
      <c r="AG29" s="275"/>
      <c r="AH29" s="275"/>
      <c r="AI29" s="275"/>
      <c r="AJ29" s="12"/>
      <c r="AK29" s="12"/>
      <c r="AL29" s="275"/>
      <c r="AM29" s="275"/>
      <c r="AN29" s="275"/>
      <c r="AO29" s="275"/>
      <c r="AP29" s="275"/>
      <c r="AQ29" s="275"/>
      <c r="AR29" s="275"/>
      <c r="AS29" s="275"/>
      <c r="AT29" s="275"/>
      <c r="AU29" s="275"/>
      <c r="AV29" s="275"/>
      <c r="AW29" s="275"/>
      <c r="AX29" s="275"/>
      <c r="AY29" s="275"/>
      <c r="AZ29" s="275"/>
      <c r="BA29" s="275"/>
      <c r="BB29" s="275"/>
      <c r="BC29" s="275">
        <f>IF('Fill white Cells '!E10=1,ROUND(Z29*0.17,0),IF('Fill white Cells '!E10=4,ROUND(Z29*0.09,0),IF('Fill white Cells '!E10=7,ROUND(Z29*0.12,0),IF('Fill white Cells '!E10=10,ROUND(Z29*0.17,0),0))))</f>
        <v>0</v>
      </c>
      <c r="BD29" s="101"/>
      <c r="BE29" s="101"/>
      <c r="BF29" s="101"/>
      <c r="BG29" s="101"/>
      <c r="BH29" s="101"/>
      <c r="BI29" s="101"/>
      <c r="BJ29" s="101"/>
      <c r="BK29" s="101"/>
      <c r="BL29" s="101"/>
    </row>
    <row r="30" spans="1:64" s="97" customFormat="1" ht="15" customHeight="1" thickBot="1">
      <c r="A30" s="341" t="s">
        <v>233</v>
      </c>
      <c r="B30" s="173">
        <f>SUM(B21:B29)</f>
        <v>0</v>
      </c>
      <c r="C30" s="173">
        <f t="shared" ref="C30:H30" si="23">SUM(C21:C29)</f>
        <v>0</v>
      </c>
      <c r="D30" s="173">
        <f>SUM(D21:D29)</f>
        <v>0</v>
      </c>
      <c r="E30" s="173">
        <f t="shared" si="23"/>
        <v>0</v>
      </c>
      <c r="F30" s="173">
        <f t="shared" si="23"/>
        <v>0</v>
      </c>
      <c r="G30" s="173">
        <f t="shared" si="23"/>
        <v>0</v>
      </c>
      <c r="H30" s="173">
        <f t="shared" si="23"/>
        <v>0</v>
      </c>
      <c r="I30" s="173">
        <f>SUM(I21:I29)</f>
        <v>0</v>
      </c>
      <c r="J30" s="173">
        <f t="shared" ref="J30:S30" si="24">SUM(J21:J29)</f>
        <v>0</v>
      </c>
      <c r="K30" s="173">
        <f t="shared" si="24"/>
        <v>0</v>
      </c>
      <c r="L30" s="173">
        <f t="shared" si="24"/>
        <v>0</v>
      </c>
      <c r="M30" s="173">
        <f t="shared" si="24"/>
        <v>0</v>
      </c>
      <c r="N30" s="173">
        <f t="shared" si="24"/>
        <v>0</v>
      </c>
      <c r="O30" s="173">
        <f t="shared" si="24"/>
        <v>0</v>
      </c>
      <c r="P30" s="173">
        <f t="shared" si="24"/>
        <v>0</v>
      </c>
      <c r="Q30" s="173">
        <f t="shared" si="24"/>
        <v>0</v>
      </c>
      <c r="R30" s="173">
        <f t="shared" si="24"/>
        <v>0</v>
      </c>
      <c r="S30" s="173">
        <f t="shared" si="24"/>
        <v>0</v>
      </c>
      <c r="T30" s="174" t="e">
        <f>SUM(#REF!)</f>
        <v>#REF!</v>
      </c>
      <c r="U30" s="175">
        <f>SUM(U21:U29)</f>
        <v>0</v>
      </c>
      <c r="AB30" s="264"/>
      <c r="AC30" s="264"/>
      <c r="AD30" s="264">
        <f>SUM(Q9:Q19)</f>
        <v>0</v>
      </c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264"/>
      <c r="BL30" s="264"/>
    </row>
    <row r="31" spans="1:64" s="81" customFormat="1" ht="15" hidden="1" customHeight="1">
      <c r="T31" s="100" t="e">
        <f>SUM(T21:T30)</f>
        <v>#REF!</v>
      </c>
      <c r="AB31" s="101"/>
      <c r="AC31" s="101"/>
      <c r="AD31" s="101"/>
      <c r="AE31" s="101"/>
      <c r="AF31" s="101"/>
      <c r="AG31" s="101"/>
      <c r="AH31" s="101"/>
      <c r="AI31" s="101"/>
      <c r="AJ31" s="12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</row>
    <row r="32" spans="1:64" s="81" customFormat="1" ht="15" hidden="1" customHeight="1">
      <c r="AB32" s="101"/>
      <c r="AC32" s="101"/>
      <c r="AD32" s="101"/>
      <c r="AE32" s="101"/>
      <c r="AF32" s="101"/>
      <c r="AG32" s="101"/>
      <c r="AH32" s="101"/>
      <c r="AI32" s="101"/>
      <c r="AJ32" s="12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</row>
    <row r="33" spans="1:64" s="81" customFormat="1" ht="15" hidden="1" customHeight="1"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</row>
    <row r="34" spans="1:64" s="2" customFormat="1" ht="15" hidden="1" customHeight="1">
      <c r="T34" s="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64" s="2" customFormat="1" ht="15" hidden="1" customHeight="1">
      <c r="E35" s="4">
        <f>'Fill white Cells '!C55</f>
        <v>0</v>
      </c>
      <c r="F35" s="4">
        <f>IF('Fill white Cells '!C55&gt;0, 'Fill white Cells '!C56, 0)</f>
        <v>0</v>
      </c>
      <c r="G35" s="4">
        <f>F35</f>
        <v>0</v>
      </c>
      <c r="H35" s="4">
        <f>G35</f>
        <v>0</v>
      </c>
      <c r="I35" s="4">
        <f>H35</f>
        <v>0</v>
      </c>
      <c r="J35" s="4">
        <f>I35</f>
        <v>0</v>
      </c>
      <c r="K35" s="4"/>
      <c r="L35" s="2">
        <f>IF(AND('Fill white Cells '!C56&gt;2, I35&lt;6), (B24*0.03), IF(AND('Fill white Cells '!C56&lt;3,'Fill white Cells '!C57=1, 'Fill white Cells '!C60=30, I35&lt;6),(B9*0.03), IF(AND('Fill white Cells '!C56&lt;3,'Fill white Cells '!C57=1, 'Fill white Cells '!C60=15, I35&lt;6),(B9*0.03)/2, 0)))</f>
        <v>0</v>
      </c>
      <c r="M35" s="2">
        <f>IF(I35=7,(B24*0.05),IF(I35=8,(B24*0.05),IF(I35=9,(B24*0.05),0)))</f>
        <v>0</v>
      </c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64" s="2" customFormat="1" ht="15" hidden="1" customHeight="1">
      <c r="E36" s="4"/>
      <c r="F36" s="4">
        <f>IF(F35=9,B15,IF(F35=10,B16,IF(F35=11,B17,IF(F35=8,B14,IF(F35=12,B18,0)))))</f>
        <v>0</v>
      </c>
      <c r="G36" s="4">
        <f>IF(G35=9,C15,IF(G35=10,C16,IF(G35=11,C17,IF(G35=8,C14,IF(G35=12,C18,0)))))</f>
        <v>0</v>
      </c>
      <c r="H36" s="4">
        <f>IF(H35=9,D15,IF(H35=10,D16,IF(H35=11,D17,IF(H35=8,D14,IF(H35=12,D18,0)))))</f>
        <v>0</v>
      </c>
      <c r="I36" s="4">
        <f>IF(I35=9,E15,IF(I35=10,E16,IF(I35=11,E17,IF(I35=8,E14,IF(I35=12,E18,0)))))</f>
        <v>0</v>
      </c>
      <c r="J36" s="4">
        <f>IF(J35=9,F15,IF(J35=10,F16,IF(J35=11,F17,IF(J35=8,F14,IF(J35=12,F18,0)))))</f>
        <v>0</v>
      </c>
      <c r="K36" s="4"/>
      <c r="L36" s="2">
        <f>E22-L35</f>
        <v>0</v>
      </c>
      <c r="M36" s="2">
        <f>E23-M35</f>
        <v>0</v>
      </c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64" s="2" customFormat="1" ht="15" hidden="1" customHeight="1">
      <c r="E37" s="4"/>
      <c r="F37" s="7">
        <f>IF(F35=1,B20,IF(F35=2,B20,IF(F35=3,B9,IF(F35=4,B10,IF(F35=5,B11,IF(F35=6,B12,IF(F35=7,B13,0)))))))</f>
        <v>0</v>
      </c>
      <c r="G37" s="7">
        <f>IF(G35=1,C18,IF(G35=2,C19,IF(G35=3,C9,IF(G35=4,C9,IF(G35=5,C10,IF(G35=6,C11,IF(G35=7,C12,0)))))))</f>
        <v>0</v>
      </c>
      <c r="H37" s="7">
        <f>IF(H35=1,D20,IF(H35=2,D20,IF(H35=3,D9,IF(H35=4,D9,IF(H35=5,D10,IF(H35=6,D11,IF(H35=7,D12,0)))))))</f>
        <v>0</v>
      </c>
      <c r="I37" s="7">
        <f>IF(I35=1,E20,IF(I35=2,E20,IF(I35=3,E9,IF(I35=4,E10,IF(I35=5,E11,IF(I35=6,E12,IF(I35=7,E13,0)))))))</f>
        <v>0</v>
      </c>
      <c r="J37" s="4">
        <f>IF(J35=1,F20,IF(J35=2,F20,IF(J35=3,F9,IF(J35=4,F10,IF(J35=5,F11,IF(J35=6,F12,IF(J35=7,F13,0)))))))</f>
        <v>0</v>
      </c>
      <c r="K37" s="4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64" s="2" customFormat="1" ht="6.75" customHeight="1" thickBot="1">
      <c r="A38" s="5"/>
      <c r="B38" s="5"/>
      <c r="C38" s="5"/>
      <c r="D38" s="5"/>
      <c r="E38" s="5"/>
      <c r="J38" s="5"/>
      <c r="K38" s="5"/>
      <c r="L38" s="5"/>
      <c r="M38" s="5"/>
      <c r="N38" s="5"/>
      <c r="O38" s="5"/>
      <c r="P38" s="5"/>
      <c r="Q38" s="5"/>
      <c r="R38" s="5"/>
      <c r="S38" s="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64" s="2" customFormat="1" ht="15" customHeight="1">
      <c r="A39" s="779" t="s">
        <v>234</v>
      </c>
      <c r="B39" s="780"/>
      <c r="C39" s="780"/>
      <c r="D39" s="780"/>
      <c r="E39" s="780"/>
      <c r="F39" s="780"/>
      <c r="G39" s="780"/>
      <c r="H39" s="780"/>
      <c r="I39" s="780"/>
      <c r="J39" s="780"/>
      <c r="K39" s="781"/>
      <c r="L39" s="102"/>
      <c r="M39" s="745" t="s">
        <v>124</v>
      </c>
      <c r="N39" s="746"/>
      <c r="O39" s="746"/>
      <c r="P39" s="746"/>
      <c r="Q39" s="746"/>
      <c r="R39" s="746"/>
      <c r="S39" s="746"/>
      <c r="T39" s="746"/>
      <c r="U39" s="747"/>
      <c r="X39" s="2">
        <f>E41+E42+E43+E46+E45+E47+E48+E49+E50+E53+K41+K42+K43+K45+K46+K47+K48+K49+K50+K53</f>
        <v>0</v>
      </c>
      <c r="Y39" s="2" t="s">
        <v>235</v>
      </c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64" s="2" customFormat="1" ht="24.75" customHeight="1">
      <c r="A40" s="714" t="s">
        <v>125</v>
      </c>
      <c r="B40" s="715"/>
      <c r="C40" s="715"/>
      <c r="D40" s="716"/>
      <c r="E40" s="769" t="s">
        <v>236</v>
      </c>
      <c r="F40" s="770"/>
      <c r="G40" s="103"/>
      <c r="H40" s="710" t="s">
        <v>125</v>
      </c>
      <c r="I40" s="711"/>
      <c r="J40" s="712"/>
      <c r="K40" s="104" t="s">
        <v>236</v>
      </c>
      <c r="L40" s="105"/>
      <c r="M40" s="758" t="s">
        <v>127</v>
      </c>
      <c r="N40" s="759"/>
      <c r="O40" s="760"/>
      <c r="P40" s="762" t="s">
        <v>237</v>
      </c>
      <c r="Q40" s="763"/>
      <c r="R40" s="764"/>
      <c r="S40" s="748" t="s">
        <v>129</v>
      </c>
      <c r="T40" s="749"/>
      <c r="U40" s="750"/>
      <c r="X40" s="2">
        <f>S41+S42+S43+S45</f>
        <v>0</v>
      </c>
      <c r="Y40" s="2" t="s">
        <v>238</v>
      </c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64" ht="13.5" customHeight="1">
      <c r="A41" s="713">
        <f>'Fill white Cells '!B77</f>
        <v>0</v>
      </c>
      <c r="B41" s="705"/>
      <c r="C41" s="705"/>
      <c r="D41" s="706"/>
      <c r="E41" s="704">
        <f>'Fill white Cells '!D77</f>
        <v>0</v>
      </c>
      <c r="F41" s="706"/>
      <c r="G41" s="106"/>
      <c r="H41" s="704">
        <f>'Fill white Cells '!F77</f>
        <v>0</v>
      </c>
      <c r="I41" s="705"/>
      <c r="J41" s="706"/>
      <c r="K41" s="140">
        <f>'Fill white Cells '!I77</f>
        <v>0</v>
      </c>
      <c r="L41" s="141"/>
      <c r="M41" s="713">
        <f>'Fill white Cells '!K77</f>
        <v>0</v>
      </c>
      <c r="N41" s="705"/>
      <c r="O41" s="706"/>
      <c r="P41" s="704">
        <f>'Fill white Cells '!M77</f>
        <v>0</v>
      </c>
      <c r="Q41" s="705"/>
      <c r="R41" s="706"/>
      <c r="S41" s="704">
        <f>'Fill white Cells '!N77</f>
        <v>0</v>
      </c>
      <c r="T41" s="705"/>
      <c r="U41" s="751"/>
      <c r="X41" s="54">
        <f>S49+S50+S53</f>
        <v>0</v>
      </c>
      <c r="Y41" s="54" t="s">
        <v>239</v>
      </c>
    </row>
    <row r="42" spans="1:64" ht="13.5" customHeight="1">
      <c r="A42" s="713">
        <f>'Fill white Cells '!B78</f>
        <v>0</v>
      </c>
      <c r="B42" s="705"/>
      <c r="C42" s="705"/>
      <c r="D42" s="706"/>
      <c r="E42" s="704">
        <f>'Fill white Cells '!D78</f>
        <v>0</v>
      </c>
      <c r="F42" s="706"/>
      <c r="G42" s="106"/>
      <c r="H42" s="704">
        <f>'Fill white Cells '!F78</f>
        <v>0</v>
      </c>
      <c r="I42" s="705"/>
      <c r="J42" s="706"/>
      <c r="K42" s="140">
        <f>'Fill white Cells '!I78</f>
        <v>0</v>
      </c>
      <c r="L42" s="141"/>
      <c r="M42" s="713">
        <f>'Fill white Cells '!K78</f>
        <v>0</v>
      </c>
      <c r="N42" s="705"/>
      <c r="O42" s="706"/>
      <c r="P42" s="704">
        <f>'Fill white Cells '!M78</f>
        <v>0</v>
      </c>
      <c r="Q42" s="705"/>
      <c r="R42" s="706"/>
      <c r="S42" s="704">
        <f>'Fill white Cells '!N78</f>
        <v>0</v>
      </c>
      <c r="T42" s="705"/>
      <c r="U42" s="751"/>
      <c r="X42" s="54">
        <f>K57+K58</f>
        <v>0</v>
      </c>
      <c r="Y42" s="54" t="s">
        <v>240</v>
      </c>
    </row>
    <row r="43" spans="1:64" ht="13.5" customHeight="1" thickBot="1">
      <c r="A43" s="713">
        <f>'Fill white Cells '!B79</f>
        <v>0</v>
      </c>
      <c r="B43" s="705"/>
      <c r="C43" s="705"/>
      <c r="D43" s="706"/>
      <c r="E43" s="704">
        <f>'Fill white Cells '!D79</f>
        <v>0</v>
      </c>
      <c r="F43" s="706"/>
      <c r="G43" s="106"/>
      <c r="H43" s="704">
        <f>'Fill white Cells '!F79</f>
        <v>0</v>
      </c>
      <c r="I43" s="705"/>
      <c r="J43" s="706"/>
      <c r="K43" s="140">
        <f>'Fill white Cells '!I79</f>
        <v>0</v>
      </c>
      <c r="L43" s="141"/>
      <c r="M43" s="707">
        <f>'Fill white Cells '!K79</f>
        <v>0</v>
      </c>
      <c r="N43" s="708"/>
      <c r="O43" s="709"/>
      <c r="P43" s="752">
        <f>'Fill white Cells '!M79</f>
        <v>0</v>
      </c>
      <c r="Q43" s="708"/>
      <c r="R43" s="709"/>
      <c r="S43" s="752">
        <f>'Fill white Cells '!N79</f>
        <v>0</v>
      </c>
      <c r="T43" s="708"/>
      <c r="U43" s="753"/>
    </row>
    <row r="44" spans="1:64" ht="15" hidden="1" customHeight="1">
      <c r="A44" s="138">
        <f>'Fill white Cells '!B80</f>
        <v>0</v>
      </c>
      <c r="B44" s="704"/>
      <c r="C44" s="705"/>
      <c r="D44" s="706"/>
      <c r="E44" s="704"/>
      <c r="F44" s="706"/>
      <c r="G44" s="106"/>
      <c r="H44" s="704">
        <f>'Fill white Cells '!F80</f>
        <v>0</v>
      </c>
      <c r="I44" s="705"/>
      <c r="J44" s="706"/>
      <c r="K44" s="140"/>
      <c r="L44" s="141"/>
      <c r="M44" s="761">
        <f>'Fill white Cells '!K80</f>
        <v>0</v>
      </c>
      <c r="N44" s="755"/>
      <c r="O44" s="757"/>
      <c r="P44" s="754"/>
      <c r="Q44" s="755"/>
      <c r="R44" s="757"/>
      <c r="S44" s="754">
        <f>'Fill white Cells '!N80</f>
        <v>0</v>
      </c>
      <c r="T44" s="755"/>
      <c r="U44" s="756"/>
    </row>
    <row r="45" spans="1:64" ht="13.5" hidden="1" customHeight="1" thickBot="1">
      <c r="A45" s="713">
        <f>'Fill white Cells '!B80</f>
        <v>0</v>
      </c>
      <c r="B45" s="705"/>
      <c r="C45" s="705"/>
      <c r="D45" s="706"/>
      <c r="E45" s="704">
        <f>'Fill white Cells '!D80</f>
        <v>0</v>
      </c>
      <c r="F45" s="706"/>
      <c r="G45" s="106"/>
      <c r="H45" s="704">
        <f>'Fill white Cells '!F80</f>
        <v>0</v>
      </c>
      <c r="I45" s="705"/>
      <c r="J45" s="706"/>
      <c r="K45" s="140">
        <f>'Fill white Cells '!I80</f>
        <v>0</v>
      </c>
      <c r="L45" s="141"/>
      <c r="M45" s="707">
        <f>'Fill white Cells '!K80</f>
        <v>0</v>
      </c>
      <c r="N45" s="708"/>
      <c r="O45" s="709"/>
      <c r="P45" s="752">
        <f>'Fill white Cells '!M80</f>
        <v>0</v>
      </c>
      <c r="Q45" s="708"/>
      <c r="R45" s="709"/>
      <c r="S45" s="752">
        <f>'Fill white Cells '!N80</f>
        <v>0</v>
      </c>
      <c r="T45" s="708"/>
      <c r="U45" s="753"/>
    </row>
    <row r="46" spans="1:64" ht="13.5" hidden="1" customHeight="1" thickBot="1">
      <c r="A46" s="713">
        <f>'Fill white Cells '!B81</f>
        <v>0</v>
      </c>
      <c r="B46" s="705"/>
      <c r="C46" s="705"/>
      <c r="D46" s="706"/>
      <c r="E46" s="704">
        <f>'Fill white Cells '!D81</f>
        <v>0</v>
      </c>
      <c r="F46" s="706"/>
      <c r="G46" s="106"/>
      <c r="H46" s="704">
        <f>'Fill white Cells '!F81</f>
        <v>0</v>
      </c>
      <c r="I46" s="705"/>
      <c r="J46" s="706"/>
      <c r="K46" s="140">
        <f>'Fill white Cells '!I81</f>
        <v>0</v>
      </c>
      <c r="L46" s="106"/>
      <c r="M46" s="106"/>
      <c r="N46" s="106"/>
      <c r="O46" s="106"/>
      <c r="P46" s="106"/>
      <c r="Q46" s="106"/>
      <c r="R46" s="106"/>
      <c r="S46" s="106"/>
      <c r="T46" s="106"/>
      <c r="U46" s="106"/>
    </row>
    <row r="47" spans="1:64" ht="13.5" customHeight="1">
      <c r="A47" s="713">
        <f>'Fill white Cells '!B82</f>
        <v>0</v>
      </c>
      <c r="B47" s="705"/>
      <c r="C47" s="705"/>
      <c r="D47" s="706"/>
      <c r="E47" s="704">
        <f>'Fill white Cells '!D82</f>
        <v>0</v>
      </c>
      <c r="F47" s="706"/>
      <c r="G47" s="106"/>
      <c r="H47" s="704">
        <f>'Fill white Cells '!F82</f>
        <v>0</v>
      </c>
      <c r="I47" s="705"/>
      <c r="J47" s="706"/>
      <c r="K47" s="140">
        <f>'Fill white Cells '!I82</f>
        <v>0</v>
      </c>
      <c r="L47" s="106"/>
      <c r="M47" s="783" t="s">
        <v>127</v>
      </c>
      <c r="N47" s="765"/>
      <c r="O47" s="765"/>
      <c r="P47" s="785" t="s">
        <v>237</v>
      </c>
      <c r="Q47" s="765"/>
      <c r="R47" s="786"/>
      <c r="S47" s="765" t="s">
        <v>241</v>
      </c>
      <c r="T47" s="765"/>
      <c r="U47" s="766"/>
    </row>
    <row r="48" spans="1:64" ht="13.5" customHeight="1">
      <c r="A48" s="713">
        <f>'Fill white Cells '!B83</f>
        <v>0</v>
      </c>
      <c r="B48" s="705"/>
      <c r="C48" s="705"/>
      <c r="D48" s="706"/>
      <c r="E48" s="704">
        <f>'Fill white Cells '!D83</f>
        <v>0</v>
      </c>
      <c r="F48" s="706"/>
      <c r="G48" s="106"/>
      <c r="H48" s="704">
        <f>'Fill white Cells '!F83</f>
        <v>0</v>
      </c>
      <c r="I48" s="705"/>
      <c r="J48" s="706"/>
      <c r="K48" s="140">
        <f>'Fill white Cells '!I83</f>
        <v>0</v>
      </c>
      <c r="L48" s="106"/>
      <c r="M48" s="784"/>
      <c r="N48" s="767"/>
      <c r="O48" s="767"/>
      <c r="P48" s="787"/>
      <c r="Q48" s="767"/>
      <c r="R48" s="788"/>
      <c r="S48" s="767"/>
      <c r="T48" s="767"/>
      <c r="U48" s="768"/>
    </row>
    <row r="49" spans="1:21" ht="13.5" customHeight="1">
      <c r="A49" s="713">
        <f>'Fill white Cells '!B84</f>
        <v>0</v>
      </c>
      <c r="B49" s="705"/>
      <c r="C49" s="705"/>
      <c r="D49" s="706"/>
      <c r="E49" s="704">
        <f>'Fill white Cells '!D84</f>
        <v>0</v>
      </c>
      <c r="F49" s="706"/>
      <c r="G49" s="106"/>
      <c r="H49" s="704">
        <f>'Fill white Cells '!F84</f>
        <v>0</v>
      </c>
      <c r="I49" s="705"/>
      <c r="J49" s="706"/>
      <c r="K49" s="140">
        <f>'Fill white Cells '!I84</f>
        <v>0</v>
      </c>
      <c r="L49" s="106"/>
      <c r="M49" s="713">
        <f>'Fill white Cells '!K83</f>
        <v>0</v>
      </c>
      <c r="N49" s="705"/>
      <c r="O49" s="706"/>
      <c r="P49" s="704">
        <f>'Fill white Cells '!M83</f>
        <v>0</v>
      </c>
      <c r="Q49" s="705"/>
      <c r="R49" s="706"/>
      <c r="S49" s="704">
        <f>'Fill white Cells '!N83</f>
        <v>0</v>
      </c>
      <c r="T49" s="705"/>
      <c r="U49" s="751"/>
    </row>
    <row r="50" spans="1:21" ht="13.5" customHeight="1">
      <c r="A50" s="713">
        <f>'Fill white Cells '!B85</f>
        <v>0</v>
      </c>
      <c r="B50" s="705"/>
      <c r="C50" s="705"/>
      <c r="D50" s="706"/>
      <c r="E50" s="704">
        <f>'Fill white Cells '!D85</f>
        <v>0</v>
      </c>
      <c r="F50" s="706"/>
      <c r="G50" s="106"/>
      <c r="H50" s="704">
        <f>'Fill white Cells '!F85</f>
        <v>0</v>
      </c>
      <c r="I50" s="705"/>
      <c r="J50" s="706"/>
      <c r="K50" s="140">
        <f>'Fill white Cells '!I85</f>
        <v>0</v>
      </c>
      <c r="L50" s="106"/>
      <c r="M50" s="713">
        <f>'Fill white Cells '!K84</f>
        <v>0</v>
      </c>
      <c r="N50" s="705"/>
      <c r="O50" s="706"/>
      <c r="P50" s="704">
        <f>'Fill white Cells '!M84</f>
        <v>0</v>
      </c>
      <c r="Q50" s="705"/>
      <c r="R50" s="706"/>
      <c r="S50" s="704">
        <f>'Fill white Cells '!N84</f>
        <v>0</v>
      </c>
      <c r="T50" s="705"/>
      <c r="U50" s="751"/>
    </row>
    <row r="51" spans="1:21" ht="15" hidden="1" customHeight="1">
      <c r="A51" s="138">
        <f>'Fill white Cells '!B86</f>
        <v>0</v>
      </c>
      <c r="B51" s="704"/>
      <c r="C51" s="705"/>
      <c r="D51" s="706"/>
      <c r="E51" s="704"/>
      <c r="F51" s="706"/>
      <c r="G51" s="106"/>
      <c r="H51" s="139"/>
      <c r="I51" s="704"/>
      <c r="J51" s="706"/>
      <c r="K51" s="140">
        <f>'Fill white Cells '!I86</f>
        <v>0</v>
      </c>
      <c r="L51" s="106"/>
      <c r="M51" s="713">
        <f>'Fill white Cells '!K85</f>
        <v>0</v>
      </c>
      <c r="N51" s="705"/>
      <c r="O51" s="706"/>
      <c r="P51" s="704">
        <f>'Fill white Cells '!M85</f>
        <v>0</v>
      </c>
      <c r="Q51" s="705"/>
      <c r="R51" s="706"/>
      <c r="S51" s="704">
        <f>'Fill white Cells '!N85</f>
        <v>0</v>
      </c>
      <c r="T51" s="705"/>
      <c r="U51" s="751"/>
    </row>
    <row r="52" spans="1:21" ht="15" hidden="1" customHeight="1">
      <c r="A52" s="138">
        <f>'Fill white Cells '!B87</f>
        <v>0</v>
      </c>
      <c r="B52" s="704"/>
      <c r="C52" s="705"/>
      <c r="D52" s="706"/>
      <c r="E52" s="704"/>
      <c r="F52" s="706"/>
      <c r="G52" s="106"/>
      <c r="H52" s="139"/>
      <c r="I52" s="704"/>
      <c r="J52" s="706"/>
      <c r="K52" s="140">
        <f>'Fill white Cells '!I87</f>
        <v>0</v>
      </c>
      <c r="L52" s="106"/>
      <c r="M52" s="713">
        <f>'Fill white Cells '!K86</f>
        <v>0</v>
      </c>
      <c r="N52" s="705"/>
      <c r="O52" s="706"/>
      <c r="P52" s="704">
        <f>'Fill white Cells '!M86</f>
        <v>0</v>
      </c>
      <c r="Q52" s="705"/>
      <c r="R52" s="706"/>
      <c r="S52" s="704">
        <f>'Fill white Cells '!N86</f>
        <v>0</v>
      </c>
      <c r="T52" s="705"/>
      <c r="U52" s="751"/>
    </row>
    <row r="53" spans="1:21" ht="13.5" customHeight="1" thickBot="1">
      <c r="A53" s="707">
        <f>'Fill white Cells '!B89</f>
        <v>0</v>
      </c>
      <c r="B53" s="708"/>
      <c r="C53" s="708"/>
      <c r="D53" s="709"/>
      <c r="E53" s="752">
        <f>'Fill white Cells '!D89</f>
        <v>0</v>
      </c>
      <c r="F53" s="709"/>
      <c r="G53" s="108"/>
      <c r="H53" s="704">
        <f>'Fill white Cells '!F89</f>
        <v>0</v>
      </c>
      <c r="I53" s="705"/>
      <c r="J53" s="706"/>
      <c r="K53" s="143">
        <f>'Fill white Cells '!I89</f>
        <v>0</v>
      </c>
      <c r="L53" s="106"/>
      <c r="M53" s="707">
        <f>'Fill white Cells '!K85</f>
        <v>0</v>
      </c>
      <c r="N53" s="708"/>
      <c r="O53" s="709"/>
      <c r="P53" s="752">
        <f>'Fill white Cells '!M85</f>
        <v>0</v>
      </c>
      <c r="Q53" s="708"/>
      <c r="R53" s="709"/>
      <c r="S53" s="752">
        <f>'Fill white Cells '!N85</f>
        <v>0</v>
      </c>
      <c r="T53" s="708"/>
      <c r="U53" s="753"/>
    </row>
    <row r="54" spans="1:21" ht="6.75" customHeight="1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</row>
    <row r="55" spans="1:21" ht="15.75">
      <c r="A55" s="742" t="s">
        <v>131</v>
      </c>
      <c r="B55" s="743"/>
      <c r="C55" s="743"/>
      <c r="D55" s="743"/>
      <c r="E55" s="743"/>
      <c r="F55" s="743"/>
      <c r="G55" s="743"/>
      <c r="H55" s="743"/>
      <c r="I55" s="743"/>
      <c r="J55" s="743"/>
      <c r="K55" s="743"/>
      <c r="L55" s="744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1:21" ht="28.5" customHeight="1">
      <c r="A56" s="775" t="s">
        <v>133</v>
      </c>
      <c r="B56" s="733"/>
      <c r="C56" s="733"/>
      <c r="D56" s="733" t="s">
        <v>134</v>
      </c>
      <c r="E56" s="733"/>
      <c r="F56" s="733"/>
      <c r="G56" s="733"/>
      <c r="H56" s="736" t="s">
        <v>242</v>
      </c>
      <c r="I56" s="736"/>
      <c r="J56" s="457" t="s">
        <v>136</v>
      </c>
      <c r="K56" s="736" t="s">
        <v>137</v>
      </c>
      <c r="L56" s="737"/>
      <c r="M56" s="106"/>
      <c r="N56" s="106"/>
      <c r="O56" s="106"/>
      <c r="P56" s="106"/>
      <c r="Q56" s="106"/>
      <c r="R56" s="106"/>
      <c r="S56" s="106"/>
      <c r="T56" s="106"/>
      <c r="U56" s="106"/>
    </row>
    <row r="57" spans="1:21">
      <c r="A57" s="776">
        <f>'Fill white Cells '!B93</f>
        <v>0</v>
      </c>
      <c r="B57" s="738"/>
      <c r="C57" s="738"/>
      <c r="D57" s="734">
        <f>'Fill white Cells '!C93</f>
        <v>0</v>
      </c>
      <c r="E57" s="734"/>
      <c r="F57" s="734"/>
      <c r="G57" s="734"/>
      <c r="H57" s="777">
        <f>'Fill white Cells '!F93</f>
        <v>0</v>
      </c>
      <c r="I57" s="777"/>
      <c r="J57" s="139">
        <f>'Fill white Cells '!G93</f>
        <v>0</v>
      </c>
      <c r="K57" s="738">
        <f>'Fill white Cells '!H93</f>
        <v>0</v>
      </c>
      <c r="L57" s="739"/>
      <c r="M57" s="106"/>
      <c r="N57" s="106"/>
      <c r="O57" s="106"/>
      <c r="P57" s="106"/>
      <c r="Q57" s="106"/>
      <c r="R57" s="106"/>
      <c r="S57" s="106"/>
      <c r="T57" s="106"/>
      <c r="U57" s="106"/>
    </row>
    <row r="58" spans="1:21" ht="15.75" thickBot="1">
      <c r="A58" s="782">
        <f>'Fill white Cells '!B94</f>
        <v>0</v>
      </c>
      <c r="B58" s="740"/>
      <c r="C58" s="740"/>
      <c r="D58" s="735">
        <f>'Fill white Cells '!C94</f>
        <v>0</v>
      </c>
      <c r="E58" s="735"/>
      <c r="F58" s="735"/>
      <c r="G58" s="735"/>
      <c r="H58" s="778">
        <f>'Fill white Cells '!F94</f>
        <v>0</v>
      </c>
      <c r="I58" s="778"/>
      <c r="J58" s="142">
        <f>'Fill white Cells '!G94</f>
        <v>0</v>
      </c>
      <c r="K58" s="740">
        <f>'Fill white Cells '!H94</f>
        <v>0</v>
      </c>
      <c r="L58" s="741"/>
      <c r="M58" s="106"/>
      <c r="N58" s="106"/>
      <c r="O58" s="106"/>
      <c r="P58" s="106"/>
      <c r="Q58" s="106"/>
      <c r="R58" s="106"/>
      <c r="S58" s="106"/>
      <c r="T58" s="106"/>
      <c r="U58" s="106"/>
    </row>
    <row r="59" spans="1:21" ht="15.75">
      <c r="A59" s="721"/>
      <c r="B59" s="721"/>
      <c r="C59" s="721"/>
      <c r="D59" s="721"/>
      <c r="Q59" s="724"/>
      <c r="R59" s="724"/>
      <c r="S59" s="724"/>
      <c r="T59" s="724"/>
      <c r="U59" s="724"/>
    </row>
    <row r="60" spans="1:21"/>
    <row r="61" spans="1:21" ht="15.75">
      <c r="A61" s="721" t="s">
        <v>201</v>
      </c>
      <c r="B61" s="721"/>
      <c r="C61" s="721"/>
      <c r="D61" s="721"/>
      <c r="Q61" s="724" t="s">
        <v>243</v>
      </c>
      <c r="R61" s="724"/>
      <c r="S61" s="724"/>
      <c r="T61" s="724"/>
      <c r="U61" s="724"/>
    </row>
    <row r="62" spans="1:21"/>
  </sheetData>
  <sheetProtection password="DD74" sheet="1" objects="1" scenarios="1" selectLockedCells="1"/>
  <mergeCells count="114">
    <mergeCell ref="P1:Q1"/>
    <mergeCell ref="E53:F53"/>
    <mergeCell ref="B44:D44"/>
    <mergeCell ref="H1:N1"/>
    <mergeCell ref="B1:E1"/>
    <mergeCell ref="R1:U1"/>
    <mergeCell ref="Q61:U61"/>
    <mergeCell ref="A56:C56"/>
    <mergeCell ref="H56:I56"/>
    <mergeCell ref="A57:C57"/>
    <mergeCell ref="H57:I57"/>
    <mergeCell ref="H58:I58"/>
    <mergeCell ref="M53:O53"/>
    <mergeCell ref="P53:R53"/>
    <mergeCell ref="S53:U53"/>
    <mergeCell ref="I51:J51"/>
    <mergeCell ref="I52:J52"/>
    <mergeCell ref="A39:K39"/>
    <mergeCell ref="A61:D61"/>
    <mergeCell ref="A58:C58"/>
    <mergeCell ref="E41:F41"/>
    <mergeCell ref="E42:F42"/>
    <mergeCell ref="M47:O48"/>
    <mergeCell ref="P47:R48"/>
    <mergeCell ref="S47:U48"/>
    <mergeCell ref="M51:O51"/>
    <mergeCell ref="P51:R51"/>
    <mergeCell ref="S51:U51"/>
    <mergeCell ref="E40:F40"/>
    <mergeCell ref="M52:O52"/>
    <mergeCell ref="P52:R52"/>
    <mergeCell ref="S52:U52"/>
    <mergeCell ref="M49:O49"/>
    <mergeCell ref="P49:R49"/>
    <mergeCell ref="S49:U49"/>
    <mergeCell ref="M50:O50"/>
    <mergeCell ref="P50:R50"/>
    <mergeCell ref="S50:U50"/>
    <mergeCell ref="E44:F44"/>
    <mergeCell ref="E46:F46"/>
    <mergeCell ref="E47:F47"/>
    <mergeCell ref="E48:F48"/>
    <mergeCell ref="E49:F49"/>
    <mergeCell ref="E51:F51"/>
    <mergeCell ref="E52:F52"/>
    <mergeCell ref="E50:F50"/>
    <mergeCell ref="E43:F43"/>
    <mergeCell ref="M39:U39"/>
    <mergeCell ref="S40:U40"/>
    <mergeCell ref="S41:U41"/>
    <mergeCell ref="S42:U42"/>
    <mergeCell ref="S43:U43"/>
    <mergeCell ref="S44:U44"/>
    <mergeCell ref="S45:U45"/>
    <mergeCell ref="M45:O45"/>
    <mergeCell ref="P41:R41"/>
    <mergeCell ref="P42:R42"/>
    <mergeCell ref="P43:R43"/>
    <mergeCell ref="P44:R44"/>
    <mergeCell ref="P45:R45"/>
    <mergeCell ref="M40:O40"/>
    <mergeCell ref="M43:O43"/>
    <mergeCell ref="M44:O44"/>
    <mergeCell ref="P40:R40"/>
    <mergeCell ref="M41:O41"/>
    <mergeCell ref="M42:O42"/>
    <mergeCell ref="A50:D50"/>
    <mergeCell ref="A2:U2"/>
    <mergeCell ref="N6:Q6"/>
    <mergeCell ref="L6:M6"/>
    <mergeCell ref="A59:D59"/>
    <mergeCell ref="R4:U4"/>
    <mergeCell ref="Q59:U59"/>
    <mergeCell ref="B3:H3"/>
    <mergeCell ref="M3:O3"/>
    <mergeCell ref="M5:O5"/>
    <mergeCell ref="K7:S7"/>
    <mergeCell ref="E7:I7"/>
    <mergeCell ref="B7:D7"/>
    <mergeCell ref="A7:A8"/>
    <mergeCell ref="J7:J8"/>
    <mergeCell ref="U7:U8"/>
    <mergeCell ref="D56:G56"/>
    <mergeCell ref="D57:G57"/>
    <mergeCell ref="D58:G58"/>
    <mergeCell ref="K56:L56"/>
    <mergeCell ref="K57:L57"/>
    <mergeCell ref="K58:L58"/>
    <mergeCell ref="A55:L55"/>
    <mergeCell ref="E45:F45"/>
    <mergeCell ref="B51:D51"/>
    <mergeCell ref="A53:D53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0:J50"/>
    <mergeCell ref="H53:J53"/>
    <mergeCell ref="A41:D41"/>
    <mergeCell ref="A40:D40"/>
    <mergeCell ref="A42:D42"/>
    <mergeCell ref="A43:D43"/>
    <mergeCell ref="A45:D45"/>
    <mergeCell ref="A46:D46"/>
    <mergeCell ref="A47:D47"/>
    <mergeCell ref="A48:D48"/>
    <mergeCell ref="A49:D49"/>
    <mergeCell ref="B52:D52"/>
  </mergeCells>
  <phoneticPr fontId="1" type="noConversion"/>
  <printOptions horizontalCentered="1" vertic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P109"/>
  <sheetViews>
    <sheetView showGridLines="0" showRowColHeaders="0" view="pageBreakPreview" topLeftCell="A13" zoomScale="90" zoomScaleNormal="90" zoomScaleSheetLayoutView="90" workbookViewId="0">
      <selection activeCell="C5" sqref="C5:D5"/>
    </sheetView>
  </sheetViews>
  <sheetFormatPr defaultColWidth="0" defaultRowHeight="15.75" zeroHeight="1"/>
  <cols>
    <col min="1" max="1" width="5.7109375" style="303" customWidth="1"/>
    <col min="2" max="2" width="11.140625" style="303" customWidth="1"/>
    <col min="3" max="6" width="18.42578125" style="303" customWidth="1"/>
    <col min="7" max="7" width="0.5703125" style="302" customWidth="1"/>
    <col min="8" max="16384" width="14.42578125" style="303" hidden="1"/>
  </cols>
  <sheetData>
    <row r="1" spans="1:15" ht="22.5" customHeight="1">
      <c r="A1" s="817" t="s">
        <v>244</v>
      </c>
      <c r="B1" s="817"/>
      <c r="C1" s="817"/>
      <c r="D1" s="817"/>
      <c r="E1" s="817"/>
      <c r="F1" s="817"/>
    </row>
    <row r="2" spans="1:15" ht="22.5" customHeight="1">
      <c r="A2" s="817" t="s">
        <v>245</v>
      </c>
      <c r="B2" s="817"/>
      <c r="C2" s="817"/>
      <c r="D2" s="817"/>
      <c r="E2" s="817"/>
      <c r="F2" s="817"/>
    </row>
    <row r="3" spans="1:15" ht="17.25" customHeight="1">
      <c r="A3" s="817" t="s">
        <v>246</v>
      </c>
      <c r="B3" s="817"/>
      <c r="C3" s="817"/>
      <c r="D3" s="817"/>
      <c r="E3" s="817"/>
      <c r="F3" s="817"/>
    </row>
    <row r="4" spans="1:15" ht="17.25" customHeight="1" thickBot="1">
      <c r="A4" s="817" t="s">
        <v>247</v>
      </c>
      <c r="B4" s="817"/>
      <c r="C4" s="817"/>
      <c r="D4" s="817"/>
      <c r="E4" s="817"/>
      <c r="F4" s="817"/>
    </row>
    <row r="5" spans="1:15" ht="22.5" customHeight="1" thickBot="1">
      <c r="A5" s="820" t="s">
        <v>248</v>
      </c>
      <c r="B5" s="821"/>
      <c r="C5" s="822"/>
      <c r="D5" s="822"/>
      <c r="E5" s="304" t="s">
        <v>249</v>
      </c>
      <c r="F5" s="336"/>
    </row>
    <row r="6" spans="1:15" ht="30" customHeight="1" thickBot="1">
      <c r="A6" s="827"/>
      <c r="B6" s="827"/>
      <c r="C6" s="827"/>
      <c r="D6" s="827"/>
      <c r="E6" s="827"/>
      <c r="F6" s="827"/>
    </row>
    <row r="7" spans="1:15" ht="25.5" customHeight="1">
      <c r="A7" s="801" t="s">
        <v>125</v>
      </c>
      <c r="B7" s="805"/>
      <c r="C7" s="805" t="s">
        <v>250</v>
      </c>
      <c r="D7" s="805"/>
      <c r="E7" s="805" t="s">
        <v>251</v>
      </c>
      <c r="F7" s="806"/>
      <c r="I7" s="305">
        <v>1</v>
      </c>
      <c r="J7" s="306" t="s">
        <v>252</v>
      </c>
      <c r="K7" s="307">
        <f>F26</f>
        <v>0</v>
      </c>
      <c r="M7" s="308"/>
      <c r="N7" s="309"/>
      <c r="O7" s="309"/>
    </row>
    <row r="8" spans="1:15" ht="25.5" customHeight="1">
      <c r="A8" s="795" t="s">
        <v>253</v>
      </c>
      <c r="B8" s="796"/>
      <c r="C8" s="835"/>
      <c r="D8" s="836"/>
      <c r="E8" s="818">
        <f>'Fill white Cells '!E3</f>
        <v>0</v>
      </c>
      <c r="F8" s="819"/>
      <c r="I8" s="305">
        <v>2</v>
      </c>
      <c r="J8" s="306" t="s">
        <v>254</v>
      </c>
      <c r="K8" s="310"/>
      <c r="L8" s="311" t="str">
        <f>RIGHT(K7,9)</f>
        <v>0</v>
      </c>
      <c r="M8" s="311"/>
      <c r="N8" s="311"/>
      <c r="O8" s="311"/>
    </row>
    <row r="9" spans="1:15" ht="25.5" customHeight="1">
      <c r="A9" s="797" t="s">
        <v>255</v>
      </c>
      <c r="B9" s="798"/>
      <c r="C9" s="835"/>
      <c r="D9" s="836"/>
      <c r="E9" s="818">
        <f>'Fill white Cells '!E4</f>
        <v>0</v>
      </c>
      <c r="F9" s="819"/>
      <c r="I9" s="305">
        <v>3</v>
      </c>
      <c r="J9" s="306" t="s">
        <v>256</v>
      </c>
      <c r="K9" s="310">
        <v>10000000</v>
      </c>
      <c r="L9" s="311">
        <f>QUOTIENT(L8,K9)</f>
        <v>0</v>
      </c>
      <c r="M9" s="311" t="str">
        <f>IF(L9&gt;0,VLOOKUP(L9,I:J,2,FALSE),"")</f>
        <v/>
      </c>
      <c r="N9" s="311" t="str">
        <f>IF(L9&gt;0,"Crore","")</f>
        <v/>
      </c>
      <c r="O9" s="311"/>
    </row>
    <row r="10" spans="1:15" ht="25.5" customHeight="1">
      <c r="A10" s="838" t="s">
        <v>257</v>
      </c>
      <c r="B10" s="839"/>
      <c r="C10" s="837"/>
      <c r="D10" s="836"/>
      <c r="E10" s="818" t="str">
        <f>'Fill white Cells '!E7</f>
        <v>.</v>
      </c>
      <c r="F10" s="819"/>
      <c r="I10" s="305">
        <v>4</v>
      </c>
      <c r="J10" s="306" t="s">
        <v>258</v>
      </c>
      <c r="K10" s="310"/>
      <c r="L10" s="311" t="str">
        <f>RIGHT(K7,7)</f>
        <v>0</v>
      </c>
      <c r="M10" s="311"/>
      <c r="N10" s="311"/>
      <c r="O10" s="311"/>
    </row>
    <row r="11" spans="1:15" ht="25.5" customHeight="1" thickBot="1">
      <c r="A11" s="833"/>
      <c r="B11" s="834"/>
      <c r="C11" s="842"/>
      <c r="D11" s="843"/>
      <c r="E11" s="844">
        <f>'Fill white Cells '!E8</f>
        <v>0</v>
      </c>
      <c r="F11" s="845"/>
      <c r="I11" s="305">
        <v>5</v>
      </c>
      <c r="J11" s="306" t="s">
        <v>259</v>
      </c>
      <c r="K11" s="310">
        <v>100000</v>
      </c>
      <c r="L11" s="311">
        <f>QUOTIENT(L10,K11)</f>
        <v>0</v>
      </c>
      <c r="M11" s="311" t="str">
        <f>IF(L11&gt;0,VLOOKUP(L11,I:J,2,FALSE),"")</f>
        <v/>
      </c>
      <c r="N11" s="311" t="str">
        <f>IF(L11&gt;0,"Lakh","")</f>
        <v/>
      </c>
      <c r="O11" s="311"/>
    </row>
    <row r="12" spans="1:15" ht="30" customHeight="1" thickBot="1">
      <c r="A12" s="828"/>
      <c r="B12" s="828"/>
      <c r="C12" s="828"/>
      <c r="D12" s="828"/>
      <c r="E12" s="828"/>
      <c r="F12" s="828"/>
      <c r="I12" s="305">
        <v>6</v>
      </c>
      <c r="J12" s="306" t="s">
        <v>260</v>
      </c>
      <c r="K12" s="310"/>
      <c r="L12" s="311" t="str">
        <f>RIGHT(K7,5)</f>
        <v>0</v>
      </c>
      <c r="M12" s="311"/>
      <c r="N12" s="311"/>
      <c r="O12" s="311"/>
    </row>
    <row r="13" spans="1:15" ht="30.75" customHeight="1">
      <c r="A13" s="801" t="s">
        <v>261</v>
      </c>
      <c r="B13" s="805"/>
      <c r="C13" s="805" t="s">
        <v>262</v>
      </c>
      <c r="D13" s="805"/>
      <c r="E13" s="805" t="s">
        <v>263</v>
      </c>
      <c r="F13" s="806"/>
      <c r="I13" s="305">
        <v>7</v>
      </c>
      <c r="J13" s="306" t="s">
        <v>264</v>
      </c>
      <c r="K13" s="310">
        <v>1000</v>
      </c>
      <c r="L13" s="311">
        <f>QUOTIENT(L12,K13)</f>
        <v>0</v>
      </c>
      <c r="M13" s="311" t="str">
        <f>IF(L13&gt;0,VLOOKUP(L13,I:J,2,FALSE),"")</f>
        <v/>
      </c>
      <c r="N13" s="311" t="str">
        <f>IF(L13&gt;0,"Thousand","")</f>
        <v/>
      </c>
      <c r="O13" s="311"/>
    </row>
    <row r="14" spans="1:15" ht="30.75" customHeight="1" thickBot="1">
      <c r="A14" s="823"/>
      <c r="B14" s="824"/>
      <c r="C14" s="810">
        <f>'Fill white Cells '!E2</f>
        <v>0</v>
      </c>
      <c r="D14" s="810"/>
      <c r="E14" s="840">
        <f>'Fill white Cells '!E9</f>
        <v>0</v>
      </c>
      <c r="F14" s="841"/>
      <c r="I14" s="305">
        <v>8</v>
      </c>
      <c r="J14" s="306" t="s">
        <v>265</v>
      </c>
      <c r="K14" s="310"/>
      <c r="L14" s="311" t="str">
        <f>RIGHT(K7,3)</f>
        <v>0</v>
      </c>
      <c r="M14" s="311"/>
      <c r="N14" s="311"/>
      <c r="O14" s="311"/>
    </row>
    <row r="15" spans="1:15" ht="30" customHeight="1" thickBot="1">
      <c r="A15" s="829"/>
      <c r="B15" s="829"/>
      <c r="C15" s="829"/>
      <c r="D15" s="829"/>
      <c r="E15" s="829"/>
      <c r="F15" s="829"/>
      <c r="I15" s="305">
        <v>9</v>
      </c>
      <c r="J15" s="306" t="s">
        <v>266</v>
      </c>
      <c r="K15" s="310">
        <v>100</v>
      </c>
      <c r="L15" s="311">
        <f>QUOTIENT(L14,K15)</f>
        <v>0</v>
      </c>
      <c r="M15" s="311" t="str">
        <f>IF(L15&gt;0,VLOOKUP(L15,I:J,2,FALSE),"")</f>
        <v/>
      </c>
      <c r="N15" s="311" t="str">
        <f>IF(L15&gt;0,"Hundred","")</f>
        <v/>
      </c>
      <c r="O15" s="311" t="str">
        <f>IF(L16&gt;0,"and","")</f>
        <v/>
      </c>
    </row>
    <row r="16" spans="1:15" ht="30.75" customHeight="1">
      <c r="A16" s="807" t="s">
        <v>267</v>
      </c>
      <c r="B16" s="808"/>
      <c r="C16" s="808"/>
      <c r="D16" s="809"/>
      <c r="E16" s="807" t="str">
        <f>'OLD front'!A2</f>
        <v>FINANCIAL YEAR : 2024 - 2025</v>
      </c>
      <c r="F16" s="849"/>
      <c r="I16" s="305">
        <v>10</v>
      </c>
      <c r="J16" s="306" t="s">
        <v>268</v>
      </c>
      <c r="K16" s="310"/>
      <c r="L16" s="311">
        <f>VALUE(RIGHT(K7,2))</f>
        <v>0</v>
      </c>
      <c r="M16" s="311" t="str">
        <f>IF(L16=0,"",VLOOKUP(L16,I:J,2,FALSE))&amp;"Only"</f>
        <v>Only</v>
      </c>
      <c r="N16" s="311"/>
      <c r="O16" s="311"/>
    </row>
    <row r="17" spans="1:16" ht="30.75" customHeight="1">
      <c r="A17" s="851"/>
      <c r="B17" s="852"/>
      <c r="C17" s="852"/>
      <c r="D17" s="853"/>
      <c r="E17" s="795" t="str">
        <f>'OLD front'!C2</f>
        <v>ASSESSMENT YEAR : 2025 -2026</v>
      </c>
      <c r="F17" s="850"/>
      <c r="I17" s="305">
        <v>11</v>
      </c>
      <c r="J17" s="306" t="s">
        <v>269</v>
      </c>
      <c r="K17" s="312" t="str">
        <f>IFERROR(IF(K7=0,"","[Rupees"&amp;CONCATENATE(M9,N9," ",M11,N11," ",M13,N13," ",M15,N15," ",O15," ",M16)&amp;"]"),0)</f>
        <v/>
      </c>
      <c r="L17" s="313"/>
      <c r="M17" s="314"/>
      <c r="N17" s="314"/>
      <c r="O17" s="314"/>
      <c r="P17" s="302"/>
    </row>
    <row r="18" spans="1:16" ht="30.75" customHeight="1" thickBot="1">
      <c r="A18" s="823"/>
      <c r="B18" s="824"/>
      <c r="C18" s="824"/>
      <c r="D18" s="854"/>
      <c r="E18" s="799" t="s">
        <v>270</v>
      </c>
      <c r="F18" s="800"/>
      <c r="I18" s="305">
        <v>12</v>
      </c>
      <c r="J18" s="306" t="s">
        <v>271</v>
      </c>
      <c r="K18" s="312"/>
      <c r="L18" s="315"/>
      <c r="M18" s="315"/>
      <c r="N18" s="315"/>
      <c r="O18" s="315"/>
      <c r="P18" s="302"/>
    </row>
    <row r="19" spans="1:16" ht="30" customHeight="1">
      <c r="A19" s="855" t="s">
        <v>272</v>
      </c>
      <c r="B19" s="855"/>
      <c r="C19" s="855"/>
      <c r="D19" s="855"/>
      <c r="E19" s="855"/>
      <c r="F19" s="855"/>
      <c r="I19" s="305">
        <v>13</v>
      </c>
      <c r="J19" s="306" t="s">
        <v>273</v>
      </c>
      <c r="K19" s="316" t="str">
        <f>"I, " &amp; C8 &amp; " working in the capacity of " &amp; C9 &amp; " do hereby certify that a sum of Rs." &amp; F26 &amp; "/-" &amp; K17 &amp; " " &amp; K20</f>
        <v>I,  working in the capacity of  do hereby certify that a sum of Rs.0/- has been deducted and deposited to the credit of the Central Government. I further certify that the information given above is true, complete and correct and is based on the books of account, documents, TDS statements, TDS deposited and other available records.</v>
      </c>
      <c r="L19" s="315"/>
      <c r="M19" s="315"/>
      <c r="N19" s="315"/>
      <c r="O19" s="315"/>
      <c r="P19" s="302"/>
    </row>
    <row r="20" spans="1:16" ht="35.25" customHeight="1" thickBot="1">
      <c r="A20" s="856"/>
      <c r="B20" s="856"/>
      <c r="C20" s="856"/>
      <c r="D20" s="856"/>
      <c r="E20" s="856"/>
      <c r="F20" s="856"/>
      <c r="I20" s="305">
        <v>14</v>
      </c>
      <c r="J20" s="306" t="s">
        <v>274</v>
      </c>
      <c r="K20" s="303" t="s">
        <v>275</v>
      </c>
      <c r="L20" s="315"/>
      <c r="M20" s="315"/>
      <c r="N20" s="315"/>
      <c r="O20" s="315"/>
      <c r="P20" s="302"/>
    </row>
    <row r="21" spans="1:16" ht="98.25" customHeight="1">
      <c r="A21" s="801" t="s">
        <v>276</v>
      </c>
      <c r="B21" s="805"/>
      <c r="C21" s="468" t="s">
        <v>277</v>
      </c>
      <c r="D21" s="468" t="s">
        <v>278</v>
      </c>
      <c r="E21" s="468" t="s">
        <v>279</v>
      </c>
      <c r="F21" s="317" t="s">
        <v>280</v>
      </c>
      <c r="I21" s="305">
        <v>15</v>
      </c>
      <c r="J21" s="306" t="s">
        <v>281</v>
      </c>
      <c r="K21" s="312"/>
      <c r="L21" s="315"/>
      <c r="M21" s="315"/>
      <c r="N21" s="315"/>
      <c r="O21" s="315"/>
      <c r="P21" s="302"/>
    </row>
    <row r="22" spans="1:16" ht="27" customHeight="1">
      <c r="A22" s="795" t="s">
        <v>235</v>
      </c>
      <c r="B22" s="811"/>
      <c r="C22" s="465"/>
      <c r="D22" s="467">
        <f>'OLD back'!J9+'OLD back'!J10+'OLD back'!J11+'OLD back'!J12</f>
        <v>0</v>
      </c>
      <c r="E22" s="318">
        <f>'OLD back'!Q9+'OLD back'!Q10+'OLD back'!Q11+'OLD back'!Q12+'OLD back'!R12+'OLD back'!R11+'OLD back'!R10+'OLD back'!R9</f>
        <v>0</v>
      </c>
      <c r="F22" s="466"/>
      <c r="I22" s="305">
        <v>16</v>
      </c>
      <c r="J22" s="306" t="s">
        <v>282</v>
      </c>
      <c r="K22" s="312"/>
      <c r="L22" s="315"/>
      <c r="M22" s="315"/>
      <c r="N22" s="315"/>
      <c r="O22" s="315"/>
      <c r="P22" s="302"/>
    </row>
    <row r="23" spans="1:16" ht="27" customHeight="1">
      <c r="A23" s="795" t="s">
        <v>34</v>
      </c>
      <c r="B23" s="811"/>
      <c r="C23" s="465"/>
      <c r="D23" s="467">
        <f>'OLD back'!J13+'OLD back'!J14+'OLD back'!J15</f>
        <v>0</v>
      </c>
      <c r="E23" s="318">
        <f>'OLD back'!Q13+'OLD back'!R13+'OLD back'!Q14+'OLD back'!R14+'OLD back'!Q15+'OLD back'!R15</f>
        <v>0</v>
      </c>
      <c r="F23" s="466"/>
      <c r="I23" s="305">
        <v>17</v>
      </c>
      <c r="J23" s="306" t="s">
        <v>283</v>
      </c>
      <c r="K23" s="312"/>
      <c r="L23" s="315"/>
      <c r="M23" s="315"/>
      <c r="N23" s="315"/>
      <c r="O23" s="315"/>
      <c r="P23" s="302"/>
    </row>
    <row r="24" spans="1:16" ht="27" customHeight="1">
      <c r="A24" s="795" t="s">
        <v>37</v>
      </c>
      <c r="B24" s="811"/>
      <c r="C24" s="465"/>
      <c r="D24" s="467">
        <f>'OLD back'!J16+'OLD back'!J17+'OLD back'!J18</f>
        <v>0</v>
      </c>
      <c r="E24" s="318">
        <f>'OLD back'!Q16+'OLD back'!R16+'OLD back'!Q17+'OLD back'!R17+'OLD back'!Q18+'OLD back'!R18</f>
        <v>0</v>
      </c>
      <c r="F24" s="466"/>
      <c r="I24" s="305">
        <v>18</v>
      </c>
      <c r="J24" s="306" t="s">
        <v>284</v>
      </c>
      <c r="K24" s="312"/>
      <c r="L24" s="315"/>
      <c r="M24" s="315"/>
      <c r="N24" s="315"/>
      <c r="O24" s="315"/>
      <c r="P24" s="302"/>
    </row>
    <row r="25" spans="1:16" ht="27" customHeight="1">
      <c r="A25" s="795" t="s">
        <v>39</v>
      </c>
      <c r="B25" s="811"/>
      <c r="C25" s="465"/>
      <c r="D25" s="467">
        <f>'OLD back'!J19+'OLD back'!J20+'OLD back'!J26+'OLD back'!J29+'OLD back'!J25</f>
        <v>0</v>
      </c>
      <c r="E25" s="318">
        <f>'OLD back'!Q19+'OLD back'!R19+'OLD back'!Q20+'OLD back'!R20+'OLD back'!Q26+'OLD back'!R26+'OLD back'!Q29+'OLD back'!R29</f>
        <v>0</v>
      </c>
      <c r="F25" s="466"/>
      <c r="I25" s="305">
        <v>19</v>
      </c>
      <c r="J25" s="306" t="s">
        <v>285</v>
      </c>
      <c r="K25" s="312"/>
      <c r="L25" s="315"/>
      <c r="M25" s="315"/>
      <c r="N25" s="315"/>
      <c r="O25" s="315"/>
      <c r="P25" s="302"/>
    </row>
    <row r="26" spans="1:16" ht="33" customHeight="1" thickBot="1">
      <c r="A26" s="830" t="s">
        <v>230</v>
      </c>
      <c r="B26" s="831"/>
      <c r="C26" s="832"/>
      <c r="D26" s="319">
        <f>SUM(D22:D25)</f>
        <v>0</v>
      </c>
      <c r="E26" s="320">
        <f>SUM(E22:E25)</f>
        <v>0</v>
      </c>
      <c r="F26" s="321">
        <f>SUM(F22:F25)</f>
        <v>0</v>
      </c>
      <c r="I26" s="305">
        <v>20</v>
      </c>
      <c r="J26" s="306" t="s">
        <v>286</v>
      </c>
      <c r="K26" s="312"/>
      <c r="L26" s="315"/>
      <c r="M26" s="315"/>
      <c r="N26" s="315"/>
      <c r="O26" s="315"/>
      <c r="P26" s="302"/>
    </row>
    <row r="27" spans="1:16">
      <c r="A27" s="302"/>
      <c r="B27" s="302"/>
      <c r="C27" s="302"/>
      <c r="D27" s="302"/>
      <c r="E27" s="302"/>
      <c r="F27" s="302"/>
      <c r="I27" s="305">
        <v>21</v>
      </c>
      <c r="J27" s="306" t="s">
        <v>287</v>
      </c>
      <c r="K27" s="322"/>
      <c r="L27" s="313"/>
      <c r="M27" s="314"/>
      <c r="N27" s="314"/>
      <c r="O27" s="314"/>
      <c r="P27" s="302"/>
    </row>
    <row r="28" spans="1:16" ht="25.5" customHeight="1">
      <c r="A28" s="859" t="s">
        <v>288</v>
      </c>
      <c r="B28" s="859"/>
      <c r="C28" s="859"/>
      <c r="D28" s="859"/>
      <c r="E28" s="859"/>
      <c r="F28" s="859"/>
      <c r="I28" s="305">
        <v>22</v>
      </c>
      <c r="J28" s="306" t="s">
        <v>289</v>
      </c>
      <c r="K28" s="322"/>
      <c r="L28" s="323"/>
      <c r="M28" s="324"/>
      <c r="N28" s="324"/>
      <c r="O28" s="324"/>
      <c r="P28" s="302"/>
    </row>
    <row r="29" spans="1:16" ht="32.25" customHeight="1" thickBot="1">
      <c r="A29" s="860" t="s">
        <v>290</v>
      </c>
      <c r="B29" s="860"/>
      <c r="C29" s="860"/>
      <c r="D29" s="860"/>
      <c r="E29" s="860"/>
      <c r="F29" s="860"/>
      <c r="I29" s="305">
        <v>23</v>
      </c>
      <c r="J29" s="306" t="s">
        <v>291</v>
      </c>
      <c r="K29" s="322"/>
      <c r="L29" s="323"/>
      <c r="M29" s="324"/>
      <c r="N29" s="324"/>
      <c r="O29" s="324"/>
      <c r="P29" s="302"/>
    </row>
    <row r="30" spans="1:16" ht="21.75" customHeight="1">
      <c r="A30" s="801" t="s">
        <v>292</v>
      </c>
      <c r="B30" s="803" t="s">
        <v>293</v>
      </c>
      <c r="C30" s="805" t="s">
        <v>294</v>
      </c>
      <c r="D30" s="805"/>
      <c r="E30" s="805"/>
      <c r="F30" s="806"/>
      <c r="I30" s="305">
        <v>24</v>
      </c>
      <c r="J30" s="306" t="s">
        <v>295</v>
      </c>
      <c r="K30" s="322"/>
      <c r="L30" s="323"/>
      <c r="M30" s="324"/>
      <c r="N30" s="324"/>
      <c r="O30" s="324"/>
      <c r="P30" s="302"/>
    </row>
    <row r="31" spans="1:16" ht="72" customHeight="1">
      <c r="A31" s="802"/>
      <c r="B31" s="804"/>
      <c r="C31" s="469" t="s">
        <v>296</v>
      </c>
      <c r="D31" s="469" t="s">
        <v>297</v>
      </c>
      <c r="E31" s="469" t="s">
        <v>298</v>
      </c>
      <c r="F31" s="325" t="s">
        <v>299</v>
      </c>
      <c r="I31" s="305">
        <v>25</v>
      </c>
      <c r="J31" s="306" t="s">
        <v>300</v>
      </c>
      <c r="K31" s="322"/>
      <c r="L31" s="323"/>
      <c r="M31" s="324"/>
      <c r="N31" s="324"/>
      <c r="O31" s="324"/>
      <c r="P31" s="302"/>
    </row>
    <row r="32" spans="1:16" ht="18" customHeight="1">
      <c r="A32" s="464">
        <v>1</v>
      </c>
      <c r="B32" s="318">
        <f>'OLD back'!Q9+'OLD back'!R9</f>
        <v>0</v>
      </c>
      <c r="C32" s="465"/>
      <c r="D32" s="465"/>
      <c r="E32" s="465"/>
      <c r="F32" s="466"/>
      <c r="I32" s="305">
        <v>26</v>
      </c>
      <c r="J32" s="306" t="s">
        <v>301</v>
      </c>
      <c r="K32" s="322"/>
      <c r="L32" s="323"/>
      <c r="M32" s="324"/>
      <c r="N32" s="324"/>
      <c r="O32" s="324"/>
      <c r="P32" s="302"/>
    </row>
    <row r="33" spans="1:16" ht="18" customHeight="1">
      <c r="A33" s="464">
        <v>2</v>
      </c>
      <c r="B33" s="318">
        <f>'OLD back'!Q10+'OLD back'!R10</f>
        <v>0</v>
      </c>
      <c r="C33" s="465"/>
      <c r="D33" s="465"/>
      <c r="E33" s="465"/>
      <c r="F33" s="466"/>
      <c r="I33" s="305">
        <v>27</v>
      </c>
      <c r="J33" s="306" t="s">
        <v>302</v>
      </c>
      <c r="K33" s="322"/>
      <c r="L33" s="323"/>
      <c r="M33" s="324"/>
      <c r="N33" s="324"/>
      <c r="O33" s="324"/>
      <c r="P33" s="302"/>
    </row>
    <row r="34" spans="1:16" ht="18" customHeight="1">
      <c r="A34" s="464">
        <v>3</v>
      </c>
      <c r="B34" s="318">
        <f>'OLD back'!Q11+'OLD back'!R11</f>
        <v>0</v>
      </c>
      <c r="C34" s="465"/>
      <c r="D34" s="465"/>
      <c r="E34" s="465"/>
      <c r="F34" s="466"/>
      <c r="I34" s="305">
        <v>28</v>
      </c>
      <c r="J34" s="306" t="s">
        <v>303</v>
      </c>
      <c r="K34" s="322"/>
      <c r="L34" s="323"/>
      <c r="M34" s="324"/>
      <c r="N34" s="324"/>
      <c r="O34" s="324"/>
      <c r="P34" s="302"/>
    </row>
    <row r="35" spans="1:16" ht="18" customHeight="1">
      <c r="A35" s="464">
        <v>4</v>
      </c>
      <c r="B35" s="318">
        <f>'OLD back'!Q12+'OLD back'!R12</f>
        <v>0</v>
      </c>
      <c r="C35" s="465"/>
      <c r="D35" s="465"/>
      <c r="E35" s="465"/>
      <c r="F35" s="466"/>
      <c r="I35" s="305">
        <v>29</v>
      </c>
      <c r="J35" s="306" t="s">
        <v>304</v>
      </c>
      <c r="K35" s="322"/>
      <c r="L35" s="323"/>
      <c r="M35" s="324"/>
      <c r="N35" s="324"/>
      <c r="O35" s="324"/>
      <c r="P35" s="302"/>
    </row>
    <row r="36" spans="1:16" ht="18" customHeight="1">
      <c r="A36" s="464">
        <v>5</v>
      </c>
      <c r="B36" s="318">
        <f>'OLD back'!Q13+'OLD back'!R13</f>
        <v>0</v>
      </c>
      <c r="C36" s="465"/>
      <c r="D36" s="465"/>
      <c r="E36" s="465"/>
      <c r="F36" s="466"/>
      <c r="I36" s="305">
        <v>30</v>
      </c>
      <c r="J36" s="306" t="s">
        <v>305</v>
      </c>
      <c r="K36" s="322"/>
      <c r="L36" s="323"/>
      <c r="M36" s="324"/>
      <c r="N36" s="324"/>
      <c r="O36" s="324"/>
      <c r="P36" s="302"/>
    </row>
    <row r="37" spans="1:16" ht="18" customHeight="1">
      <c r="A37" s="464">
        <v>6</v>
      </c>
      <c r="B37" s="318">
        <f>'OLD back'!Q14+'OLD back'!R14</f>
        <v>0</v>
      </c>
      <c r="C37" s="465"/>
      <c r="D37" s="465"/>
      <c r="E37" s="465"/>
      <c r="F37" s="466"/>
      <c r="I37" s="305">
        <v>31</v>
      </c>
      <c r="J37" s="306" t="s">
        <v>306</v>
      </c>
      <c r="K37" s="312"/>
      <c r="L37" s="313"/>
      <c r="M37" s="314"/>
      <c r="N37" s="314"/>
      <c r="O37" s="314"/>
      <c r="P37" s="302"/>
    </row>
    <row r="38" spans="1:16" ht="18" customHeight="1">
      <c r="A38" s="464">
        <v>7</v>
      </c>
      <c r="B38" s="318">
        <f>'OLD back'!Q15+'OLD back'!R15</f>
        <v>0</v>
      </c>
      <c r="C38" s="465"/>
      <c r="D38" s="465"/>
      <c r="E38" s="465"/>
      <c r="F38" s="466"/>
      <c r="I38" s="305">
        <v>32</v>
      </c>
      <c r="J38" s="306" t="s">
        <v>307</v>
      </c>
      <c r="K38" s="312"/>
      <c r="L38" s="315"/>
      <c r="M38" s="315"/>
      <c r="N38" s="315"/>
      <c r="O38" s="315"/>
      <c r="P38" s="302"/>
    </row>
    <row r="39" spans="1:16" ht="18" customHeight="1">
      <c r="A39" s="464">
        <v>8</v>
      </c>
      <c r="B39" s="318">
        <f>'OLD back'!Q16+'OLD back'!R16</f>
        <v>0</v>
      </c>
      <c r="C39" s="465"/>
      <c r="D39" s="465"/>
      <c r="E39" s="465"/>
      <c r="F39" s="466"/>
      <c r="I39" s="305">
        <v>33</v>
      </c>
      <c r="J39" s="306" t="s">
        <v>308</v>
      </c>
      <c r="K39" s="312"/>
      <c r="L39" s="315"/>
      <c r="M39" s="315"/>
      <c r="N39" s="315"/>
      <c r="O39" s="315"/>
      <c r="P39" s="302"/>
    </row>
    <row r="40" spans="1:16" ht="18" customHeight="1">
      <c r="A40" s="464">
        <v>9</v>
      </c>
      <c r="B40" s="318">
        <f>'OLD back'!Q17+'OLD back'!R17</f>
        <v>0</v>
      </c>
      <c r="C40" s="465"/>
      <c r="D40" s="465"/>
      <c r="E40" s="465"/>
      <c r="F40" s="466"/>
      <c r="I40" s="305">
        <v>34</v>
      </c>
      <c r="J40" s="306" t="s">
        <v>309</v>
      </c>
      <c r="K40" s="312"/>
      <c r="L40" s="315"/>
      <c r="M40" s="315"/>
      <c r="N40" s="315"/>
      <c r="O40" s="315"/>
      <c r="P40" s="302"/>
    </row>
    <row r="41" spans="1:16" ht="18" customHeight="1">
      <c r="A41" s="464">
        <v>10</v>
      </c>
      <c r="B41" s="318">
        <f>'OLD back'!Q18+'OLD back'!R18</f>
        <v>0</v>
      </c>
      <c r="C41" s="465"/>
      <c r="D41" s="465"/>
      <c r="E41" s="465"/>
      <c r="F41" s="466"/>
      <c r="I41" s="305">
        <v>35</v>
      </c>
      <c r="J41" s="306" t="s">
        <v>310</v>
      </c>
      <c r="K41" s="312"/>
      <c r="L41" s="315"/>
      <c r="M41" s="315"/>
      <c r="N41" s="315"/>
      <c r="O41" s="315"/>
      <c r="P41" s="302"/>
    </row>
    <row r="42" spans="1:16" ht="18" customHeight="1">
      <c r="A42" s="464">
        <v>11</v>
      </c>
      <c r="B42" s="318">
        <f>'OLD back'!Q19+'OLD back'!R19</f>
        <v>0</v>
      </c>
      <c r="C42" s="465"/>
      <c r="D42" s="465"/>
      <c r="E42" s="465"/>
      <c r="F42" s="466"/>
      <c r="I42" s="305">
        <v>36</v>
      </c>
      <c r="J42" s="306" t="s">
        <v>311</v>
      </c>
      <c r="K42" s="312"/>
      <c r="L42" s="315"/>
      <c r="M42" s="315"/>
      <c r="N42" s="315"/>
      <c r="O42" s="315"/>
      <c r="P42" s="302"/>
    </row>
    <row r="43" spans="1:16" ht="18" customHeight="1">
      <c r="A43" s="464">
        <v>12</v>
      </c>
      <c r="B43" s="318">
        <f>'OLD back'!Q20+'OLD back'!R20+'OLD back'!Q26+'OLD back'!R26+'OLD back'!Q29+'OLD back'!R29</f>
        <v>0</v>
      </c>
      <c r="C43" s="465"/>
      <c r="D43" s="465"/>
      <c r="E43" s="465"/>
      <c r="F43" s="466"/>
      <c r="I43" s="305">
        <v>37</v>
      </c>
      <c r="J43" s="306" t="s">
        <v>312</v>
      </c>
      <c r="K43" s="312"/>
      <c r="L43" s="315"/>
      <c r="M43" s="315"/>
      <c r="N43" s="315"/>
      <c r="O43" s="315"/>
      <c r="P43" s="302"/>
    </row>
    <row r="44" spans="1:16" ht="22.5" customHeight="1" thickBot="1">
      <c r="A44" s="326" t="s">
        <v>230</v>
      </c>
      <c r="B44" s="327">
        <f>SUM(B32:B43)</f>
        <v>0</v>
      </c>
      <c r="C44" s="846"/>
      <c r="D44" s="847"/>
      <c r="E44" s="847"/>
      <c r="F44" s="848"/>
      <c r="I44" s="305">
        <v>38</v>
      </c>
      <c r="J44" s="306" t="s">
        <v>313</v>
      </c>
      <c r="K44" s="312"/>
      <c r="L44" s="315"/>
      <c r="M44" s="315"/>
      <c r="N44" s="315"/>
      <c r="O44" s="315"/>
      <c r="P44" s="302"/>
    </row>
    <row r="45" spans="1:16" ht="9" customHeight="1">
      <c r="A45" s="857" t="s">
        <v>314</v>
      </c>
      <c r="B45" s="857"/>
      <c r="C45" s="857"/>
      <c r="D45" s="857"/>
      <c r="E45" s="857"/>
      <c r="F45" s="857"/>
      <c r="I45" s="305">
        <v>39</v>
      </c>
      <c r="J45" s="306" t="s">
        <v>315</v>
      </c>
      <c r="K45" s="312"/>
      <c r="L45" s="315"/>
      <c r="M45" s="315"/>
      <c r="N45" s="315"/>
      <c r="O45" s="315"/>
      <c r="P45" s="302"/>
    </row>
    <row r="46" spans="1:16" ht="21" customHeight="1" thickBot="1">
      <c r="A46" s="858"/>
      <c r="B46" s="858"/>
      <c r="C46" s="858"/>
      <c r="D46" s="858"/>
      <c r="E46" s="858"/>
      <c r="F46" s="858"/>
      <c r="I46" s="305">
        <v>40</v>
      </c>
      <c r="J46" s="306" t="s">
        <v>316</v>
      </c>
      <c r="K46" s="312"/>
      <c r="L46" s="315"/>
      <c r="M46" s="328"/>
      <c r="N46" s="315"/>
      <c r="O46" s="315"/>
      <c r="P46" s="302"/>
    </row>
    <row r="47" spans="1:16">
      <c r="A47" s="801" t="s">
        <v>292</v>
      </c>
      <c r="B47" s="803" t="s">
        <v>293</v>
      </c>
      <c r="C47" s="805" t="s">
        <v>317</v>
      </c>
      <c r="D47" s="805"/>
      <c r="E47" s="805"/>
      <c r="F47" s="806"/>
      <c r="I47" s="305">
        <v>41</v>
      </c>
      <c r="J47" s="306" t="s">
        <v>318</v>
      </c>
      <c r="K47" s="329"/>
      <c r="L47" s="330"/>
      <c r="M47" s="46"/>
      <c r="N47" s="46"/>
      <c r="O47" s="46"/>
      <c r="P47" s="302"/>
    </row>
    <row r="48" spans="1:16" ht="47.25">
      <c r="A48" s="802"/>
      <c r="B48" s="804"/>
      <c r="C48" s="469" t="s">
        <v>319</v>
      </c>
      <c r="D48" s="469" t="s">
        <v>320</v>
      </c>
      <c r="E48" s="469" t="s">
        <v>321</v>
      </c>
      <c r="F48" s="325" t="s">
        <v>322</v>
      </c>
      <c r="I48" s="305">
        <v>42</v>
      </c>
      <c r="J48" s="306" t="s">
        <v>323</v>
      </c>
      <c r="K48" s="329"/>
      <c r="L48" s="330"/>
      <c r="M48" s="46"/>
      <c r="N48" s="46"/>
      <c r="O48" s="46"/>
      <c r="P48" s="302"/>
    </row>
    <row r="49" spans="1:16" ht="18" customHeight="1">
      <c r="A49" s="464">
        <v>1</v>
      </c>
      <c r="B49" s="465"/>
      <c r="C49" s="465"/>
      <c r="D49" s="465"/>
      <c r="E49" s="465"/>
      <c r="F49" s="466"/>
      <c r="I49" s="305">
        <v>43</v>
      </c>
      <c r="J49" s="306" t="s">
        <v>324</v>
      </c>
      <c r="K49" s="329"/>
      <c r="L49" s="330"/>
      <c r="M49" s="46"/>
      <c r="N49" s="46"/>
      <c r="O49" s="46"/>
      <c r="P49" s="302"/>
    </row>
    <row r="50" spans="1:16" ht="18" customHeight="1">
      <c r="A50" s="464">
        <v>2</v>
      </c>
      <c r="B50" s="465"/>
      <c r="C50" s="465"/>
      <c r="D50" s="465"/>
      <c r="E50" s="465"/>
      <c r="F50" s="466"/>
      <c r="I50" s="305">
        <v>44</v>
      </c>
      <c r="J50" s="306" t="s">
        <v>325</v>
      </c>
      <c r="K50" s="329"/>
      <c r="L50" s="330"/>
      <c r="M50" s="46"/>
      <c r="N50" s="46"/>
      <c r="O50" s="46"/>
      <c r="P50" s="302"/>
    </row>
    <row r="51" spans="1:16" ht="18" customHeight="1">
      <c r="A51" s="464">
        <v>3</v>
      </c>
      <c r="B51" s="465"/>
      <c r="C51" s="465"/>
      <c r="D51" s="465"/>
      <c r="E51" s="465"/>
      <c r="F51" s="466"/>
      <c r="I51" s="305">
        <v>45</v>
      </c>
      <c r="J51" s="306" t="s">
        <v>326</v>
      </c>
      <c r="K51" s="329"/>
      <c r="L51" s="330"/>
      <c r="M51" s="46"/>
      <c r="N51" s="46"/>
      <c r="O51" s="46"/>
      <c r="P51" s="302"/>
    </row>
    <row r="52" spans="1:16" ht="18" customHeight="1">
      <c r="A52" s="464">
        <v>4</v>
      </c>
      <c r="B52" s="465"/>
      <c r="C52" s="465"/>
      <c r="D52" s="465"/>
      <c r="E52" s="465"/>
      <c r="F52" s="466"/>
      <c r="I52" s="305">
        <v>46</v>
      </c>
      <c r="J52" s="306" t="s">
        <v>327</v>
      </c>
      <c r="K52" s="329"/>
      <c r="L52" s="330"/>
      <c r="M52" s="46"/>
      <c r="N52" s="46"/>
      <c r="O52" s="46"/>
      <c r="P52" s="302"/>
    </row>
    <row r="53" spans="1:16" ht="22.5" customHeight="1" thickBot="1">
      <c r="A53" s="331" t="s">
        <v>230</v>
      </c>
      <c r="B53" s="327">
        <f>SUM(B49:B52)</f>
        <v>0</v>
      </c>
      <c r="C53" s="846"/>
      <c r="D53" s="847"/>
      <c r="E53" s="847"/>
      <c r="F53" s="848"/>
      <c r="I53" s="305">
        <v>47</v>
      </c>
      <c r="J53" s="306" t="s">
        <v>328</v>
      </c>
      <c r="K53" s="329"/>
      <c r="L53" s="330"/>
      <c r="M53" s="46"/>
      <c r="N53" s="46"/>
      <c r="O53" s="46"/>
      <c r="P53" s="302"/>
    </row>
    <row r="54" spans="1:16" ht="9" customHeight="1">
      <c r="A54" s="825" t="s">
        <v>329</v>
      </c>
      <c r="B54" s="825"/>
      <c r="C54" s="825"/>
      <c r="D54" s="825"/>
      <c r="E54" s="825"/>
      <c r="F54" s="825"/>
      <c r="I54" s="305">
        <v>48</v>
      </c>
      <c r="J54" s="306" t="s">
        <v>330</v>
      </c>
      <c r="K54" s="329"/>
      <c r="L54" s="330"/>
      <c r="M54" s="46"/>
      <c r="N54" s="46"/>
      <c r="O54" s="46"/>
      <c r="P54" s="302"/>
    </row>
    <row r="55" spans="1:16" ht="16.5" customHeight="1" thickBot="1">
      <c r="A55" s="826"/>
      <c r="B55" s="826"/>
      <c r="C55" s="826"/>
      <c r="D55" s="826"/>
      <c r="E55" s="826"/>
      <c r="F55" s="826"/>
      <c r="I55" s="305">
        <v>49</v>
      </c>
      <c r="J55" s="306" t="s">
        <v>331</v>
      </c>
      <c r="K55" s="329"/>
      <c r="L55" s="330"/>
      <c r="M55" s="46"/>
      <c r="N55" s="46"/>
      <c r="O55" s="46"/>
      <c r="P55" s="302"/>
    </row>
    <row r="56" spans="1:16" ht="87.75" customHeight="1">
      <c r="A56" s="812" t="str">
        <f>K19</f>
        <v>I,  working in the capacity of  do hereby certify that a sum of Rs.0/- has been deducted and deposited to the credit of the Central Government. I further certify that the information given above is true, complete and correct and is based on the books of account, documents, TDS statements, TDS deposited and other available records.</v>
      </c>
      <c r="B56" s="813"/>
      <c r="C56" s="813"/>
      <c r="D56" s="813"/>
      <c r="E56" s="813"/>
      <c r="F56" s="814"/>
      <c r="I56" s="305">
        <v>50</v>
      </c>
      <c r="J56" s="306" t="s">
        <v>332</v>
      </c>
      <c r="K56" s="329"/>
      <c r="L56" s="330"/>
      <c r="M56" s="46"/>
      <c r="N56" s="46"/>
      <c r="O56" s="46"/>
      <c r="P56" s="302"/>
    </row>
    <row r="57" spans="1:16" ht="22.5" customHeight="1">
      <c r="A57" s="332"/>
      <c r="B57" s="302"/>
      <c r="C57" s="302"/>
      <c r="D57" s="302"/>
      <c r="E57" s="302"/>
      <c r="F57" s="333"/>
      <c r="I57" s="305">
        <v>51</v>
      </c>
      <c r="J57" s="306" t="s">
        <v>333</v>
      </c>
      <c r="K57" s="329"/>
      <c r="L57" s="330"/>
      <c r="M57" s="46"/>
      <c r="N57" s="46"/>
      <c r="O57" s="46"/>
      <c r="P57" s="302"/>
    </row>
    <row r="58" spans="1:16" ht="24.75" customHeight="1">
      <c r="A58" s="332"/>
      <c r="B58" s="302"/>
      <c r="C58" s="302"/>
      <c r="D58" s="302"/>
      <c r="E58" s="302"/>
      <c r="F58" s="333"/>
      <c r="I58" s="305">
        <v>52</v>
      </c>
      <c r="J58" s="306" t="s">
        <v>334</v>
      </c>
      <c r="K58" s="329"/>
      <c r="L58" s="330"/>
      <c r="M58" s="46"/>
      <c r="N58" s="46"/>
      <c r="O58" s="46"/>
      <c r="P58" s="302"/>
    </row>
    <row r="59" spans="1:16" ht="21.75" customHeight="1">
      <c r="A59" s="815" t="s">
        <v>199</v>
      </c>
      <c r="B59" s="816"/>
      <c r="C59" s="334">
        <f>C11</f>
        <v>0</v>
      </c>
      <c r="D59" s="791" t="s">
        <v>335</v>
      </c>
      <c r="E59" s="791"/>
      <c r="F59" s="792"/>
      <c r="I59" s="305">
        <v>53</v>
      </c>
      <c r="J59" s="306" t="s">
        <v>336</v>
      </c>
      <c r="K59" s="329"/>
      <c r="L59" s="330"/>
      <c r="M59" s="46"/>
      <c r="N59" s="46"/>
      <c r="O59" s="46"/>
      <c r="P59" s="302"/>
    </row>
    <row r="60" spans="1:16" ht="16.5" thickBot="1">
      <c r="A60" s="789" t="s">
        <v>200</v>
      </c>
      <c r="B60" s="790"/>
      <c r="C60" s="337">
        <f>F5</f>
        <v>0</v>
      </c>
      <c r="D60" s="793" t="str">
        <f>C8&amp;", " &amp;C9</f>
        <v xml:space="preserve">, </v>
      </c>
      <c r="E60" s="793"/>
      <c r="F60" s="794"/>
      <c r="I60" s="305">
        <v>54</v>
      </c>
      <c r="J60" s="306" t="s">
        <v>337</v>
      </c>
      <c r="K60" s="329"/>
      <c r="L60" s="330"/>
      <c r="M60" s="46"/>
      <c r="N60" s="46"/>
      <c r="O60" s="46"/>
      <c r="P60" s="302"/>
    </row>
    <row r="61" spans="1:16" ht="6" customHeight="1">
      <c r="A61" s="302"/>
      <c r="B61" s="302"/>
      <c r="C61" s="302"/>
      <c r="D61" s="302"/>
      <c r="E61" s="302"/>
      <c r="F61" s="302"/>
      <c r="I61" s="305">
        <v>55</v>
      </c>
      <c r="J61" s="306" t="s">
        <v>338</v>
      </c>
      <c r="K61" s="329"/>
      <c r="L61" s="330"/>
      <c r="M61" s="46"/>
      <c r="N61" s="46"/>
      <c r="O61" s="46"/>
      <c r="P61" s="302"/>
    </row>
    <row r="62" spans="1:16" hidden="1">
      <c r="I62" s="305">
        <v>56</v>
      </c>
      <c r="J62" s="306" t="s">
        <v>339</v>
      </c>
      <c r="K62" s="329"/>
      <c r="L62" s="330"/>
      <c r="M62" s="46"/>
      <c r="N62" s="46"/>
      <c r="O62" s="46"/>
      <c r="P62" s="302"/>
    </row>
    <row r="63" spans="1:16" hidden="1">
      <c r="I63" s="305">
        <v>57</v>
      </c>
      <c r="J63" s="306" t="s">
        <v>340</v>
      </c>
      <c r="K63" s="329"/>
      <c r="L63" s="330"/>
      <c r="M63" s="46"/>
      <c r="N63" s="46"/>
      <c r="O63" s="46"/>
      <c r="P63" s="302"/>
    </row>
    <row r="64" spans="1:16" hidden="1">
      <c r="I64" s="305">
        <v>58</v>
      </c>
      <c r="J64" s="306" t="s">
        <v>341</v>
      </c>
      <c r="K64" s="329"/>
      <c r="L64" s="330"/>
      <c r="M64" s="46"/>
      <c r="N64" s="46"/>
      <c r="O64" s="46"/>
      <c r="P64" s="302"/>
    </row>
    <row r="65" spans="9:16" hidden="1">
      <c r="I65" s="305">
        <v>59</v>
      </c>
      <c r="J65" s="306" t="s">
        <v>342</v>
      </c>
      <c r="K65" s="329"/>
      <c r="L65" s="330"/>
      <c r="M65" s="46"/>
      <c r="N65" s="46"/>
      <c r="O65" s="46"/>
      <c r="P65" s="302"/>
    </row>
    <row r="66" spans="9:16" hidden="1">
      <c r="I66" s="305">
        <v>60</v>
      </c>
      <c r="J66" s="306" t="s">
        <v>343</v>
      </c>
      <c r="K66" s="329"/>
      <c r="L66" s="330"/>
      <c r="M66" s="46"/>
      <c r="N66" s="46"/>
      <c r="O66" s="46"/>
      <c r="P66" s="302"/>
    </row>
    <row r="67" spans="9:16" hidden="1">
      <c r="I67" s="305">
        <v>61</v>
      </c>
      <c r="J67" s="306" t="s">
        <v>344</v>
      </c>
      <c r="K67" s="329"/>
      <c r="L67" s="330"/>
      <c r="M67" s="46"/>
      <c r="N67" s="46"/>
      <c r="O67" s="46"/>
      <c r="P67" s="302"/>
    </row>
    <row r="68" spans="9:16" hidden="1">
      <c r="I68" s="305">
        <v>62</v>
      </c>
      <c r="J68" s="306" t="s">
        <v>345</v>
      </c>
      <c r="K68" s="329"/>
      <c r="L68" s="330"/>
      <c r="M68" s="46"/>
      <c r="N68" s="46"/>
      <c r="O68" s="46"/>
      <c r="P68" s="302"/>
    </row>
    <row r="69" spans="9:16" hidden="1">
      <c r="I69" s="305">
        <v>63</v>
      </c>
      <c r="J69" s="306" t="s">
        <v>346</v>
      </c>
      <c r="K69" s="329"/>
      <c r="L69" s="330"/>
      <c r="M69" s="46"/>
      <c r="N69" s="46"/>
      <c r="O69" s="46"/>
      <c r="P69" s="302"/>
    </row>
    <row r="70" spans="9:16" hidden="1">
      <c r="I70" s="305">
        <v>64</v>
      </c>
      <c r="J70" s="306" t="s">
        <v>347</v>
      </c>
      <c r="K70" s="329"/>
      <c r="L70" s="330"/>
      <c r="M70" s="46"/>
      <c r="N70" s="46"/>
      <c r="O70" s="46"/>
      <c r="P70" s="302"/>
    </row>
    <row r="71" spans="9:16" hidden="1">
      <c r="I71" s="305">
        <v>65</v>
      </c>
      <c r="J71" s="306" t="s">
        <v>348</v>
      </c>
      <c r="K71" s="329"/>
      <c r="L71" s="330"/>
      <c r="M71" s="46"/>
      <c r="N71" s="46"/>
      <c r="O71" s="46"/>
      <c r="P71" s="302"/>
    </row>
    <row r="72" spans="9:16" hidden="1">
      <c r="I72" s="305">
        <v>66</v>
      </c>
      <c r="J72" s="306" t="s">
        <v>349</v>
      </c>
      <c r="K72" s="329"/>
      <c r="L72" s="330"/>
      <c r="M72" s="46"/>
      <c r="N72" s="46"/>
      <c r="O72" s="46"/>
      <c r="P72" s="302"/>
    </row>
    <row r="73" spans="9:16" hidden="1">
      <c r="I73" s="305">
        <v>67</v>
      </c>
      <c r="J73" s="306" t="s">
        <v>350</v>
      </c>
      <c r="K73" s="329"/>
      <c r="L73" s="330"/>
      <c r="M73" s="46"/>
      <c r="N73" s="46"/>
      <c r="O73" s="46"/>
      <c r="P73" s="302"/>
    </row>
    <row r="74" spans="9:16" hidden="1">
      <c r="I74" s="305">
        <v>68</v>
      </c>
      <c r="J74" s="306" t="s">
        <v>351</v>
      </c>
      <c r="K74" s="329"/>
      <c r="L74" s="330"/>
      <c r="M74" s="46"/>
      <c r="N74" s="46"/>
      <c r="O74" s="46"/>
      <c r="P74" s="302"/>
    </row>
    <row r="75" spans="9:16" hidden="1">
      <c r="I75" s="305">
        <v>69</v>
      </c>
      <c r="J75" s="306" t="s">
        <v>352</v>
      </c>
      <c r="K75" s="329"/>
      <c r="L75" s="330"/>
      <c r="M75" s="46"/>
      <c r="N75" s="46"/>
      <c r="O75" s="46"/>
      <c r="P75" s="302"/>
    </row>
    <row r="76" spans="9:16" hidden="1">
      <c r="I76" s="305">
        <v>70</v>
      </c>
      <c r="J76" s="306" t="s">
        <v>353</v>
      </c>
      <c r="K76" s="329"/>
      <c r="L76" s="330"/>
      <c r="M76" s="46"/>
      <c r="N76" s="46"/>
      <c r="O76" s="46"/>
      <c r="P76" s="302"/>
    </row>
    <row r="77" spans="9:16" hidden="1">
      <c r="I77" s="305">
        <v>71</v>
      </c>
      <c r="J77" s="306" t="s">
        <v>354</v>
      </c>
      <c r="K77" s="329"/>
      <c r="L77" s="330"/>
      <c r="M77" s="46"/>
      <c r="N77" s="46"/>
      <c r="O77" s="46"/>
      <c r="P77" s="302"/>
    </row>
    <row r="78" spans="9:16" hidden="1">
      <c r="I78" s="305">
        <v>72</v>
      </c>
      <c r="J78" s="306" t="s">
        <v>355</v>
      </c>
      <c r="K78" s="329"/>
      <c r="L78" s="330"/>
      <c r="M78" s="46"/>
      <c r="N78" s="46"/>
      <c r="O78" s="46"/>
      <c r="P78" s="302"/>
    </row>
    <row r="79" spans="9:16" hidden="1">
      <c r="I79" s="305">
        <v>73</v>
      </c>
      <c r="J79" s="306" t="s">
        <v>356</v>
      </c>
      <c r="K79" s="329"/>
      <c r="L79" s="330"/>
      <c r="M79" s="46"/>
      <c r="N79" s="46"/>
      <c r="O79" s="46"/>
      <c r="P79" s="302"/>
    </row>
    <row r="80" spans="9:16" hidden="1">
      <c r="I80" s="305">
        <v>74</v>
      </c>
      <c r="J80" s="306" t="s">
        <v>357</v>
      </c>
      <c r="K80" s="329"/>
      <c r="L80" s="330"/>
      <c r="M80" s="46"/>
      <c r="N80" s="46"/>
      <c r="O80" s="46"/>
      <c r="P80" s="302"/>
    </row>
    <row r="81" spans="9:16" hidden="1">
      <c r="I81" s="305">
        <v>75</v>
      </c>
      <c r="J81" s="306" t="s">
        <v>358</v>
      </c>
      <c r="K81" s="329"/>
      <c r="L81" s="330"/>
      <c r="M81" s="46"/>
      <c r="N81" s="46"/>
      <c r="O81" s="46"/>
      <c r="P81" s="302"/>
    </row>
    <row r="82" spans="9:16" hidden="1">
      <c r="I82" s="305">
        <v>76</v>
      </c>
      <c r="J82" s="306" t="s">
        <v>359</v>
      </c>
      <c r="K82" s="329"/>
      <c r="L82" s="330"/>
      <c r="M82" s="46"/>
      <c r="N82" s="46"/>
      <c r="O82" s="46"/>
      <c r="P82" s="302"/>
    </row>
    <row r="83" spans="9:16" hidden="1">
      <c r="I83" s="305">
        <v>77</v>
      </c>
      <c r="J83" s="306" t="s">
        <v>360</v>
      </c>
      <c r="K83" s="329"/>
      <c r="L83" s="330"/>
      <c r="M83" s="46"/>
      <c r="N83" s="46"/>
      <c r="O83" s="46"/>
      <c r="P83" s="302"/>
    </row>
    <row r="84" spans="9:16" hidden="1">
      <c r="I84" s="305">
        <v>78</v>
      </c>
      <c r="J84" s="306" t="s">
        <v>361</v>
      </c>
      <c r="K84" s="329"/>
      <c r="L84" s="330"/>
      <c r="M84" s="46"/>
      <c r="N84" s="46"/>
      <c r="O84" s="46"/>
      <c r="P84" s="302"/>
    </row>
    <row r="85" spans="9:16" hidden="1">
      <c r="I85" s="305">
        <v>79</v>
      </c>
      <c r="J85" s="306" t="s">
        <v>362</v>
      </c>
      <c r="K85" s="329"/>
      <c r="L85" s="330"/>
      <c r="M85" s="46"/>
      <c r="N85" s="46"/>
      <c r="O85" s="46"/>
      <c r="P85" s="302"/>
    </row>
    <row r="86" spans="9:16" hidden="1">
      <c r="I86" s="305">
        <v>80</v>
      </c>
      <c r="J86" s="306" t="s">
        <v>363</v>
      </c>
      <c r="K86" s="329"/>
      <c r="L86" s="330"/>
      <c r="M86" s="46"/>
      <c r="N86" s="46"/>
      <c r="O86" s="46"/>
      <c r="P86" s="302"/>
    </row>
    <row r="87" spans="9:16" hidden="1">
      <c r="I87" s="305">
        <v>81</v>
      </c>
      <c r="J87" s="306" t="s">
        <v>364</v>
      </c>
      <c r="K87" s="329"/>
      <c r="L87" s="330"/>
      <c r="M87" s="46"/>
      <c r="N87" s="46"/>
      <c r="O87" s="46"/>
      <c r="P87" s="302"/>
    </row>
    <row r="88" spans="9:16" hidden="1">
      <c r="I88" s="305">
        <v>82</v>
      </c>
      <c r="J88" s="306" t="s">
        <v>365</v>
      </c>
      <c r="K88" s="329"/>
      <c r="L88" s="330"/>
      <c r="M88" s="46"/>
      <c r="N88" s="46"/>
      <c r="O88" s="46"/>
      <c r="P88" s="302"/>
    </row>
    <row r="89" spans="9:16" hidden="1">
      <c r="I89" s="305">
        <v>83</v>
      </c>
      <c r="J89" s="306" t="s">
        <v>366</v>
      </c>
      <c r="K89" s="329"/>
      <c r="L89" s="330"/>
      <c r="M89" s="46"/>
      <c r="N89" s="46"/>
      <c r="O89" s="46"/>
      <c r="P89" s="302"/>
    </row>
    <row r="90" spans="9:16" hidden="1">
      <c r="I90" s="305">
        <v>84</v>
      </c>
      <c r="J90" s="306" t="s">
        <v>367</v>
      </c>
      <c r="K90" s="329"/>
      <c r="L90" s="330"/>
      <c r="M90" s="46"/>
      <c r="N90" s="46"/>
      <c r="O90" s="46"/>
      <c r="P90" s="302"/>
    </row>
    <row r="91" spans="9:16" hidden="1">
      <c r="I91" s="305">
        <v>85</v>
      </c>
      <c r="J91" s="306" t="s">
        <v>368</v>
      </c>
      <c r="K91" s="329"/>
      <c r="L91" s="330"/>
      <c r="M91" s="46"/>
      <c r="N91" s="46"/>
      <c r="O91" s="46"/>
      <c r="P91" s="302"/>
    </row>
    <row r="92" spans="9:16" hidden="1">
      <c r="I92" s="305">
        <v>86</v>
      </c>
      <c r="J92" s="306" t="s">
        <v>369</v>
      </c>
      <c r="K92" s="329"/>
      <c r="L92" s="330"/>
      <c r="M92" s="46"/>
      <c r="N92" s="46"/>
      <c r="O92" s="46"/>
      <c r="P92" s="302"/>
    </row>
    <row r="93" spans="9:16" hidden="1">
      <c r="I93" s="305">
        <v>87</v>
      </c>
      <c r="J93" s="306" t="s">
        <v>370</v>
      </c>
      <c r="K93" s="329"/>
      <c r="L93" s="330"/>
      <c r="M93" s="46"/>
      <c r="N93" s="46"/>
      <c r="O93" s="46"/>
      <c r="P93" s="302"/>
    </row>
    <row r="94" spans="9:16" hidden="1">
      <c r="I94" s="305">
        <v>88</v>
      </c>
      <c r="J94" s="306" t="s">
        <v>371</v>
      </c>
      <c r="K94" s="329"/>
      <c r="L94" s="330"/>
      <c r="M94" s="46"/>
      <c r="N94" s="46"/>
      <c r="O94" s="46"/>
      <c r="P94" s="302"/>
    </row>
    <row r="95" spans="9:16" hidden="1">
      <c r="I95" s="305">
        <v>89</v>
      </c>
      <c r="J95" s="306" t="s">
        <v>372</v>
      </c>
      <c r="K95" s="329"/>
      <c r="L95" s="330"/>
      <c r="M95" s="46"/>
      <c r="N95" s="46"/>
      <c r="O95" s="46"/>
      <c r="P95" s="302"/>
    </row>
    <row r="96" spans="9:16" hidden="1">
      <c r="I96" s="305">
        <v>90</v>
      </c>
      <c r="J96" s="306" t="s">
        <v>373</v>
      </c>
      <c r="K96" s="306"/>
      <c r="L96" s="335"/>
      <c r="M96"/>
      <c r="N96"/>
      <c r="O96"/>
    </row>
    <row r="97" spans="9:15" hidden="1">
      <c r="I97" s="305">
        <v>91</v>
      </c>
      <c r="J97" s="306" t="s">
        <v>374</v>
      </c>
      <c r="K97" s="306"/>
      <c r="L97" s="335"/>
      <c r="M97"/>
      <c r="N97"/>
      <c r="O97"/>
    </row>
    <row r="98" spans="9:15" hidden="1">
      <c r="I98" s="305">
        <v>92</v>
      </c>
      <c r="J98" s="306" t="s">
        <v>375</v>
      </c>
      <c r="K98" s="306"/>
      <c r="L98" s="335"/>
      <c r="M98"/>
      <c r="N98"/>
      <c r="O98"/>
    </row>
    <row r="99" spans="9:15" hidden="1">
      <c r="I99" s="305">
        <v>93</v>
      </c>
      <c r="J99" s="306" t="s">
        <v>376</v>
      </c>
      <c r="K99" s="306"/>
      <c r="L99" s="335"/>
      <c r="M99"/>
      <c r="N99"/>
      <c r="O99"/>
    </row>
    <row r="100" spans="9:15" hidden="1">
      <c r="I100" s="305">
        <v>94</v>
      </c>
      <c r="J100" s="306" t="s">
        <v>377</v>
      </c>
      <c r="K100" s="306"/>
      <c r="L100" s="335"/>
      <c r="M100"/>
      <c r="N100"/>
      <c r="O100"/>
    </row>
    <row r="101" spans="9:15" hidden="1">
      <c r="I101" s="305">
        <v>95</v>
      </c>
      <c r="J101" s="306" t="s">
        <v>378</v>
      </c>
      <c r="K101" s="306"/>
      <c r="L101" s="335"/>
      <c r="M101"/>
      <c r="N101"/>
      <c r="O101"/>
    </row>
    <row r="102" spans="9:15" hidden="1">
      <c r="I102" s="305">
        <v>96</v>
      </c>
      <c r="J102" s="306" t="s">
        <v>379</v>
      </c>
      <c r="K102" s="306"/>
      <c r="L102" s="335"/>
      <c r="M102"/>
      <c r="N102"/>
      <c r="O102"/>
    </row>
    <row r="103" spans="9:15" hidden="1">
      <c r="I103" s="305">
        <v>97</v>
      </c>
      <c r="J103" s="306" t="s">
        <v>380</v>
      </c>
      <c r="K103" s="306"/>
      <c r="L103" s="335"/>
      <c r="M103"/>
      <c r="N103"/>
      <c r="O103"/>
    </row>
    <row r="104" spans="9:15" hidden="1">
      <c r="I104" s="305">
        <v>98</v>
      </c>
      <c r="J104" s="306" t="s">
        <v>381</v>
      </c>
      <c r="K104" s="306"/>
      <c r="L104" s="335"/>
      <c r="M104"/>
      <c r="N104"/>
      <c r="O104"/>
    </row>
    <row r="105" spans="9:15" hidden="1">
      <c r="I105" s="305">
        <v>99</v>
      </c>
      <c r="J105" s="306" t="s">
        <v>382</v>
      </c>
      <c r="K105"/>
      <c r="L105" s="335"/>
      <c r="M105"/>
      <c r="N105"/>
      <c r="O105"/>
    </row>
    <row r="106" spans="9:15" hidden="1">
      <c r="I106">
        <v>100</v>
      </c>
      <c r="J106" t="s">
        <v>383</v>
      </c>
      <c r="K106"/>
      <c r="L106" s="335"/>
      <c r="M106"/>
      <c r="N106"/>
      <c r="O106"/>
    </row>
    <row r="107" spans="9:15" hidden="1">
      <c r="I107">
        <v>1000</v>
      </c>
      <c r="J107" t="s">
        <v>384</v>
      </c>
      <c r="K107"/>
      <c r="L107" s="335"/>
      <c r="M107"/>
      <c r="N107"/>
      <c r="O107"/>
    </row>
    <row r="108" spans="9:15" hidden="1">
      <c r="I108">
        <v>100000</v>
      </c>
      <c r="J108" t="s">
        <v>385</v>
      </c>
      <c r="K108"/>
      <c r="L108" s="335"/>
      <c r="M108"/>
      <c r="N108"/>
      <c r="O108"/>
    </row>
    <row r="109" spans="9:15" hidden="1">
      <c r="I109">
        <v>10000000</v>
      </c>
      <c r="J109" t="s">
        <v>386</v>
      </c>
      <c r="K109"/>
      <c r="L109" s="335"/>
      <c r="M109"/>
      <c r="N109"/>
      <c r="O109"/>
    </row>
  </sheetData>
  <sheetProtection password="DD74" sheet="1" objects="1" scenarios="1" selectLockedCells="1"/>
  <mergeCells count="59">
    <mergeCell ref="C53:F53"/>
    <mergeCell ref="E16:F16"/>
    <mergeCell ref="E17:F17"/>
    <mergeCell ref="A17:D18"/>
    <mergeCell ref="A21:B21"/>
    <mergeCell ref="A22:B22"/>
    <mergeCell ref="A23:B23"/>
    <mergeCell ref="A30:A31"/>
    <mergeCell ref="A19:F20"/>
    <mergeCell ref="A45:F46"/>
    <mergeCell ref="A28:F28"/>
    <mergeCell ref="A29:F29"/>
    <mergeCell ref="C44:F44"/>
    <mergeCell ref="A6:F6"/>
    <mergeCell ref="A12:F12"/>
    <mergeCell ref="A15:F15"/>
    <mergeCell ref="A26:C26"/>
    <mergeCell ref="A11:B11"/>
    <mergeCell ref="C8:D8"/>
    <mergeCell ref="C9:D9"/>
    <mergeCell ref="C10:D10"/>
    <mergeCell ref="A10:B10"/>
    <mergeCell ref="E14:F14"/>
    <mergeCell ref="C11:D11"/>
    <mergeCell ref="E9:F9"/>
    <mergeCell ref="E10:F10"/>
    <mergeCell ref="E11:F11"/>
    <mergeCell ref="A59:B59"/>
    <mergeCell ref="A1:F1"/>
    <mergeCell ref="A3:F3"/>
    <mergeCell ref="C7:D7"/>
    <mergeCell ref="E7:F7"/>
    <mergeCell ref="E8:F8"/>
    <mergeCell ref="A2:F2"/>
    <mergeCell ref="A4:F4"/>
    <mergeCell ref="A5:B5"/>
    <mergeCell ref="C5:D5"/>
    <mergeCell ref="E13:F13"/>
    <mergeCell ref="A14:B14"/>
    <mergeCell ref="A13:B13"/>
    <mergeCell ref="A54:F55"/>
    <mergeCell ref="C13:D13"/>
    <mergeCell ref="A7:B7"/>
    <mergeCell ref="A60:B60"/>
    <mergeCell ref="D59:F59"/>
    <mergeCell ref="D60:F60"/>
    <mergeCell ref="A8:B8"/>
    <mergeCell ref="A9:B9"/>
    <mergeCell ref="E18:F18"/>
    <mergeCell ref="A47:A48"/>
    <mergeCell ref="B47:B48"/>
    <mergeCell ref="C47:F47"/>
    <mergeCell ref="A16:D16"/>
    <mergeCell ref="C14:D14"/>
    <mergeCell ref="A24:B24"/>
    <mergeCell ref="A25:B25"/>
    <mergeCell ref="C30:F30"/>
    <mergeCell ref="B30:B31"/>
    <mergeCell ref="A56:F56"/>
  </mergeCells>
  <printOptions horizontalCentered="1" verticalCentered="1"/>
  <pageMargins left="0.5" right="0.5" top="0.5" bottom="0.5" header="0.5" footer="0.4"/>
  <pageSetup paperSize="9" orientation="portrait" r:id="rId1"/>
  <headerFooter>
    <oddHeader>&amp;C&amp;G</oddHeader>
    <oddFooter>&amp;RPage &amp;P of &amp;N</oddFooter>
  </headerFooter>
  <rowBreaks count="1" manualBreakCount="1">
    <brk id="2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8"/>
  <sheetViews>
    <sheetView showRowColHeaders="0" view="pageBreakPreview" zoomScaleSheetLayoutView="100" workbookViewId="0">
      <selection sqref="A1:F1"/>
    </sheetView>
  </sheetViews>
  <sheetFormatPr defaultColWidth="0" defaultRowHeight="15.75" zeroHeight="1"/>
  <cols>
    <col min="1" max="2" width="3.85546875" style="344" customWidth="1"/>
    <col min="3" max="3" width="16.5703125" style="344" customWidth="1"/>
    <col min="4" max="4" width="21.140625" style="344" customWidth="1"/>
    <col min="5" max="5" width="11.42578125" style="344" customWidth="1"/>
    <col min="6" max="6" width="29.28515625" style="344" customWidth="1"/>
    <col min="7" max="7" width="0" style="344" hidden="1" customWidth="1"/>
    <col min="8" max="16384" width="9.140625" style="344" hidden="1"/>
  </cols>
  <sheetData>
    <row r="1" spans="1:6" ht="18.75" customHeight="1">
      <c r="A1" s="864" t="s">
        <v>387</v>
      </c>
      <c r="B1" s="864"/>
      <c r="C1" s="864"/>
      <c r="D1" s="864"/>
      <c r="E1" s="864"/>
      <c r="F1" s="864"/>
    </row>
    <row r="2" spans="1:6" s="346" customFormat="1" ht="19.5" customHeight="1">
      <c r="A2" s="876" t="s">
        <v>388</v>
      </c>
      <c r="B2" s="876"/>
      <c r="C2" s="876"/>
      <c r="D2" s="876"/>
      <c r="E2" s="876"/>
      <c r="F2" s="876"/>
    </row>
    <row r="3" spans="1:6" s="346" customFormat="1" ht="19.5" customHeight="1">
      <c r="A3" s="877" t="s">
        <v>389</v>
      </c>
      <c r="B3" s="877"/>
      <c r="C3" s="877"/>
      <c r="D3" s="877"/>
      <c r="E3" s="877"/>
      <c r="F3" s="877"/>
    </row>
    <row r="4" spans="1:6" s="346" customFormat="1" ht="21" customHeight="1">
      <c r="A4" s="873" t="s">
        <v>390</v>
      </c>
      <c r="B4" s="873"/>
      <c r="C4" s="873"/>
      <c r="D4" s="865" t="str">
        <f>": " &amp; 'Fill white Cells '!E3</f>
        <v xml:space="preserve">: </v>
      </c>
      <c r="E4" s="865"/>
      <c r="F4" s="865"/>
    </row>
    <row r="5" spans="1:6" s="346" customFormat="1" ht="21" customHeight="1">
      <c r="A5" s="873" t="s">
        <v>391</v>
      </c>
      <c r="B5" s="873"/>
      <c r="C5" s="873"/>
      <c r="D5" s="865" t="str">
        <f>": " &amp; 'Fill white Cells '!E7 &amp;","&amp;'Fill white Cells '!E8</f>
        <v>: .,</v>
      </c>
      <c r="E5" s="865"/>
      <c r="F5" s="865"/>
    </row>
    <row r="6" spans="1:6" s="346" customFormat="1" ht="21" customHeight="1">
      <c r="A6" s="873" t="s">
        <v>392</v>
      </c>
      <c r="B6" s="873"/>
      <c r="C6" s="873"/>
      <c r="D6" s="865" t="str">
        <f>": " &amp; 'Fill white Cells '!E9</f>
        <v xml:space="preserve">: </v>
      </c>
      <c r="E6" s="865"/>
      <c r="F6" s="865"/>
    </row>
    <row r="7" spans="1:6" s="346" customFormat="1" ht="21" customHeight="1">
      <c r="A7" s="873" t="s">
        <v>393</v>
      </c>
      <c r="B7" s="873"/>
      <c r="C7" s="873"/>
      <c r="D7" s="865" t="str">
        <f>": " &amp; 'OLD front'!A2</f>
        <v>: FINANCIAL YEAR : 2024 - 2025</v>
      </c>
      <c r="E7" s="865"/>
      <c r="F7" s="865"/>
    </row>
    <row r="8" spans="1:6" ht="20.25" customHeight="1">
      <c r="A8" s="864" t="s">
        <v>394</v>
      </c>
      <c r="B8" s="864"/>
      <c r="C8" s="864"/>
      <c r="D8" s="864"/>
      <c r="E8" s="864"/>
      <c r="F8" s="864"/>
    </row>
    <row r="9" spans="1:6" s="345" customFormat="1" ht="19.5" customHeight="1">
      <c r="A9" s="348" t="s">
        <v>395</v>
      </c>
      <c r="B9" s="878" t="s">
        <v>396</v>
      </c>
      <c r="C9" s="878"/>
      <c r="D9" s="878"/>
      <c r="E9" s="471" t="s">
        <v>397</v>
      </c>
      <c r="F9" s="471" t="s">
        <v>398</v>
      </c>
    </row>
    <row r="10" spans="1:6" s="347" customFormat="1" ht="12.75">
      <c r="A10" s="472" t="s">
        <v>399</v>
      </c>
      <c r="B10" s="879" t="s">
        <v>400</v>
      </c>
      <c r="C10" s="879"/>
      <c r="D10" s="879"/>
      <c r="E10" s="472" t="s">
        <v>401</v>
      </c>
      <c r="F10" s="472" t="s">
        <v>402</v>
      </c>
    </row>
    <row r="11" spans="1:6" s="346" customFormat="1" ht="19.5" customHeight="1">
      <c r="A11" s="369">
        <v>1</v>
      </c>
      <c r="B11" s="883" t="s">
        <v>403</v>
      </c>
      <c r="C11" s="884"/>
      <c r="D11" s="885"/>
      <c r="E11" s="354"/>
      <c r="F11" s="361"/>
    </row>
    <row r="12" spans="1:6" s="346" customFormat="1" ht="19.5" customHeight="1">
      <c r="A12" s="370"/>
      <c r="B12" s="358" t="s">
        <v>404</v>
      </c>
      <c r="C12" s="865" t="s">
        <v>405</v>
      </c>
      <c r="D12" s="866"/>
      <c r="E12" s="351">
        <f>'OLD front'!T11</f>
        <v>6000</v>
      </c>
      <c r="F12" s="362"/>
    </row>
    <row r="13" spans="1:6" s="346" customFormat="1" ht="19.5" customHeight="1">
      <c r="A13" s="370"/>
      <c r="B13" s="358" t="s">
        <v>406</v>
      </c>
      <c r="C13" s="865" t="s">
        <v>407</v>
      </c>
      <c r="D13" s="866"/>
      <c r="E13" s="473"/>
      <c r="F13" s="362"/>
    </row>
    <row r="14" spans="1:6" s="346" customFormat="1" ht="19.5" customHeight="1">
      <c r="A14" s="370"/>
      <c r="B14" s="358" t="s">
        <v>408</v>
      </c>
      <c r="C14" s="865" t="s">
        <v>409</v>
      </c>
      <c r="D14" s="866"/>
      <c r="E14" s="473"/>
      <c r="F14" s="362"/>
    </row>
    <row r="15" spans="1:6" s="346" customFormat="1" ht="19.5" customHeight="1">
      <c r="A15" s="370"/>
      <c r="B15" s="358" t="s">
        <v>410</v>
      </c>
      <c r="C15" s="865" t="s">
        <v>411</v>
      </c>
      <c r="D15" s="866"/>
      <c r="E15" s="473"/>
      <c r="F15" s="362"/>
    </row>
    <row r="16" spans="1:6" ht="42" customHeight="1">
      <c r="A16" s="371"/>
      <c r="B16" s="880" t="s">
        <v>412</v>
      </c>
      <c r="C16" s="881"/>
      <c r="D16" s="882"/>
      <c r="E16" s="355"/>
      <c r="F16" s="363"/>
    </row>
    <row r="17" spans="1:6" ht="20.25" customHeight="1">
      <c r="A17" s="372">
        <v>2</v>
      </c>
      <c r="B17" s="886" t="s">
        <v>413</v>
      </c>
      <c r="C17" s="887"/>
      <c r="D17" s="888"/>
      <c r="E17" s="357"/>
      <c r="F17" s="349"/>
    </row>
    <row r="18" spans="1:6" ht="20.25" customHeight="1">
      <c r="A18" s="369">
        <v>3</v>
      </c>
      <c r="B18" s="883" t="s">
        <v>414</v>
      </c>
      <c r="C18" s="884"/>
      <c r="D18" s="885"/>
      <c r="E18" s="356"/>
      <c r="F18" s="364"/>
    </row>
    <row r="19" spans="1:6" ht="20.25" customHeight="1">
      <c r="A19" s="370"/>
      <c r="B19" s="358" t="s">
        <v>404</v>
      </c>
      <c r="C19" s="865" t="s">
        <v>415</v>
      </c>
      <c r="D19" s="866"/>
      <c r="F19" s="365"/>
    </row>
    <row r="20" spans="1:6" ht="20.25" customHeight="1">
      <c r="A20" s="370"/>
      <c r="B20" s="358" t="s">
        <v>406</v>
      </c>
      <c r="C20" s="865" t="s">
        <v>416</v>
      </c>
      <c r="D20" s="866"/>
      <c r="F20" s="365"/>
    </row>
    <row r="21" spans="1:6" ht="20.25" customHeight="1">
      <c r="A21" s="370"/>
      <c r="B21" s="358" t="s">
        <v>408</v>
      </c>
      <c r="C21" s="865" t="s">
        <v>417</v>
      </c>
      <c r="D21" s="866"/>
      <c r="F21" s="365"/>
    </row>
    <row r="22" spans="1:6" ht="20.25" customHeight="1">
      <c r="A22" s="370"/>
      <c r="B22" s="358" t="s">
        <v>410</v>
      </c>
      <c r="C22" s="865" t="s">
        <v>418</v>
      </c>
      <c r="D22" s="866"/>
      <c r="F22" s="365"/>
    </row>
    <row r="23" spans="1:6" ht="19.5" customHeight="1">
      <c r="A23" s="370"/>
      <c r="B23" s="350"/>
      <c r="C23" s="865" t="s">
        <v>419</v>
      </c>
      <c r="D23" s="866"/>
      <c r="F23" s="365"/>
    </row>
    <row r="24" spans="1:6" ht="19.5" customHeight="1">
      <c r="A24" s="370"/>
      <c r="B24" s="350"/>
      <c r="C24" s="865" t="s">
        <v>420</v>
      </c>
      <c r="D24" s="866"/>
      <c r="F24" s="365"/>
    </row>
    <row r="25" spans="1:6" ht="19.5" customHeight="1">
      <c r="A25" s="373"/>
      <c r="B25" s="352"/>
      <c r="C25" s="868" t="s">
        <v>421</v>
      </c>
      <c r="D25" s="869"/>
      <c r="E25" s="355"/>
      <c r="F25" s="363"/>
    </row>
    <row r="26" spans="1:6" ht="20.25" customHeight="1">
      <c r="A26" s="370">
        <v>4</v>
      </c>
      <c r="B26" s="870" t="s">
        <v>422</v>
      </c>
      <c r="C26" s="865"/>
      <c r="D26" s="866"/>
      <c r="F26" s="365"/>
    </row>
    <row r="27" spans="1:6" ht="20.25" customHeight="1">
      <c r="A27" s="370"/>
      <c r="B27" s="870" t="s">
        <v>423</v>
      </c>
      <c r="C27" s="865"/>
      <c r="D27" s="866"/>
      <c r="F27" s="365"/>
    </row>
    <row r="28" spans="1:6" ht="20.25" customHeight="1">
      <c r="A28" s="370"/>
      <c r="B28" s="358" t="s">
        <v>404</v>
      </c>
      <c r="C28" s="865" t="s">
        <v>424</v>
      </c>
      <c r="D28" s="866"/>
      <c r="F28" s="365"/>
    </row>
    <row r="29" spans="1:6" ht="20.25" customHeight="1">
      <c r="A29" s="370"/>
      <c r="B29" s="358"/>
      <c r="C29" s="874" t="str">
        <f>'OLD back'!K8</f>
        <v>GPF</v>
      </c>
      <c r="D29" s="875"/>
      <c r="E29" s="344">
        <f>'OLD back'!K30</f>
        <v>0</v>
      </c>
      <c r="F29" s="365"/>
    </row>
    <row r="30" spans="1:6" ht="20.25" customHeight="1">
      <c r="A30" s="370"/>
      <c r="B30" s="358"/>
      <c r="C30" s="874" t="str">
        <f>'OLD back'!L8</f>
        <v>FBF</v>
      </c>
      <c r="D30" s="875"/>
      <c r="E30" s="344">
        <f>'OLD back'!L30</f>
        <v>0</v>
      </c>
      <c r="F30" s="365"/>
    </row>
    <row r="31" spans="1:6" ht="20.25" customHeight="1">
      <c r="A31" s="370"/>
      <c r="B31" s="358"/>
      <c r="C31" s="874" t="str">
        <f>'OLD back'!N8</f>
        <v>SPF</v>
      </c>
      <c r="D31" s="875"/>
      <c r="E31" s="344">
        <f>'OLD back'!N30</f>
        <v>0</v>
      </c>
      <c r="F31" s="365"/>
    </row>
    <row r="32" spans="1:6" ht="20.25" customHeight="1">
      <c r="A32" s="370"/>
      <c r="B32" s="358"/>
      <c r="C32" s="874" t="str">
        <f>'OLD back'!O8</f>
        <v>PLI</v>
      </c>
      <c r="D32" s="875"/>
      <c r="E32" s="344">
        <f>'OLD back'!O30</f>
        <v>0</v>
      </c>
      <c r="F32" s="365"/>
    </row>
    <row r="33" spans="1:6" ht="20.25" customHeight="1">
      <c r="A33" s="370"/>
      <c r="B33" s="358"/>
      <c r="C33" s="874" t="str">
        <f>'OLD back'!P8</f>
        <v>LIC</v>
      </c>
      <c r="D33" s="875"/>
      <c r="E33" s="344">
        <f>'OLD back'!P30</f>
        <v>0</v>
      </c>
      <c r="F33" s="365"/>
    </row>
    <row r="34" spans="1:6" ht="20.25" customHeight="1">
      <c r="A34" s="370"/>
      <c r="B34" s="358"/>
      <c r="C34" s="874" t="s">
        <v>425</v>
      </c>
      <c r="D34" s="875"/>
      <c r="E34" s="344">
        <f>'Fill white Cells '!D77+'Fill white Cells '!D78+'Fill white Cells '!D79+'Fill white Cells '!D81+'Fill white Cells '!D82+'Fill white Cells '!D83+'Fill white Cells '!D84+'Fill white Cells '!D85+'Fill white Cells '!D89+'Fill white Cells '!I77+'Fill white Cells '!I78+'Fill white Cells '!I79+'Fill white Cells '!I81+'Fill white Cells '!I82+'Fill white Cells '!I83+'Fill white Cells '!I84+'Fill white Cells '!I85+'Fill white Cells '!I89</f>
        <v>0</v>
      </c>
      <c r="F34" s="365"/>
    </row>
    <row r="35" spans="1:6" ht="20.25" customHeight="1">
      <c r="A35" s="370"/>
      <c r="B35" s="358"/>
      <c r="C35" s="874" t="s">
        <v>426</v>
      </c>
      <c r="D35" s="875"/>
      <c r="E35" s="344">
        <f>'Fill white Cells '!N77+'Fill white Cells '!N78+'Fill white Cells '!N79</f>
        <v>0</v>
      </c>
      <c r="F35" s="365"/>
    </row>
    <row r="36" spans="1:6" ht="20.25" customHeight="1">
      <c r="A36" s="370"/>
      <c r="B36" s="358"/>
      <c r="C36" s="874" t="s">
        <v>427</v>
      </c>
      <c r="D36" s="875"/>
      <c r="E36" s="344">
        <f>'Fill white Cells '!N83+'Fill white Cells '!N84+'Fill white Cells '!N85</f>
        <v>0</v>
      </c>
      <c r="F36" s="365"/>
    </row>
    <row r="37" spans="1:6" ht="20.25" customHeight="1">
      <c r="A37" s="373"/>
      <c r="B37" s="367"/>
      <c r="C37" s="893" t="s">
        <v>428</v>
      </c>
      <c r="D37" s="894"/>
      <c r="E37" s="355">
        <f>'Fill white Cells '!H93+'Fill white Cells '!H94</f>
        <v>0</v>
      </c>
      <c r="F37" s="363"/>
    </row>
    <row r="38" spans="1:6" ht="20.25" customHeight="1">
      <c r="A38" s="369"/>
      <c r="B38" s="368" t="s">
        <v>406</v>
      </c>
      <c r="C38" s="884" t="s">
        <v>429</v>
      </c>
      <c r="D38" s="885"/>
      <c r="E38" s="356">
        <f>'OLD front'!D33</f>
        <v>0</v>
      </c>
      <c r="F38" s="364"/>
    </row>
    <row r="39" spans="1:6" ht="20.25" customHeight="1">
      <c r="A39" s="370"/>
      <c r="B39" s="358" t="s">
        <v>408</v>
      </c>
      <c r="C39" s="865" t="s">
        <v>430</v>
      </c>
      <c r="D39" s="866"/>
      <c r="E39" s="344">
        <f>'OLD front'!D34</f>
        <v>0</v>
      </c>
      <c r="F39" s="365"/>
    </row>
    <row r="40" spans="1:6" ht="20.25" customHeight="1">
      <c r="A40" s="370"/>
      <c r="B40" s="358" t="s">
        <v>410</v>
      </c>
      <c r="C40" s="865" t="s">
        <v>431</v>
      </c>
      <c r="D40" s="866"/>
      <c r="E40" s="344">
        <f>'OLD front'!D39</f>
        <v>0</v>
      </c>
      <c r="F40" s="365"/>
    </row>
    <row r="41" spans="1:6" ht="20.25" customHeight="1">
      <c r="A41" s="370"/>
      <c r="B41" s="889" t="s">
        <v>432</v>
      </c>
      <c r="C41" s="890"/>
      <c r="D41" s="891"/>
      <c r="F41" s="365"/>
    </row>
    <row r="42" spans="1:6" s="346" customFormat="1" ht="20.25" customHeight="1">
      <c r="A42" s="370"/>
      <c r="B42" s="358" t="s">
        <v>404</v>
      </c>
      <c r="C42" s="871" t="s">
        <v>433</v>
      </c>
      <c r="D42" s="872"/>
      <c r="E42" s="473">
        <f>'OLD front'!E45</f>
        <v>0</v>
      </c>
      <c r="F42" s="362"/>
    </row>
    <row r="43" spans="1:6" s="346" customFormat="1" ht="20.25" customHeight="1">
      <c r="A43" s="370"/>
      <c r="B43" s="358" t="s">
        <v>406</v>
      </c>
      <c r="C43" s="871" t="s">
        <v>434</v>
      </c>
      <c r="D43" s="872"/>
      <c r="E43" s="473">
        <f>'OLD front'!E46</f>
        <v>0</v>
      </c>
      <c r="F43" s="362"/>
    </row>
    <row r="44" spans="1:6" s="346" customFormat="1" ht="20.25" customHeight="1">
      <c r="A44" s="370"/>
      <c r="B44" s="358" t="s">
        <v>408</v>
      </c>
      <c r="C44" s="871" t="s">
        <v>435</v>
      </c>
      <c r="D44" s="872"/>
      <c r="E44" s="473">
        <f>'OLD front'!E47</f>
        <v>0</v>
      </c>
      <c r="F44" s="362"/>
    </row>
    <row r="45" spans="1:6" s="346" customFormat="1" ht="20.25" customHeight="1">
      <c r="A45" s="370"/>
      <c r="B45" s="358" t="s">
        <v>410</v>
      </c>
      <c r="C45" s="871" t="s">
        <v>436</v>
      </c>
      <c r="D45" s="872"/>
      <c r="E45" s="473">
        <f>'OLD front'!E48</f>
        <v>0</v>
      </c>
      <c r="F45" s="362"/>
    </row>
    <row r="46" spans="1:6" s="346" customFormat="1" ht="20.25" customHeight="1">
      <c r="A46" s="370"/>
      <c r="B46" s="359" t="s">
        <v>437</v>
      </c>
      <c r="C46" s="871" t="s">
        <v>438</v>
      </c>
      <c r="D46" s="872"/>
      <c r="E46" s="473">
        <f>'OLD front'!E49</f>
        <v>0</v>
      </c>
      <c r="F46" s="362"/>
    </row>
    <row r="47" spans="1:6" s="346" customFormat="1" ht="20.25" customHeight="1">
      <c r="A47" s="370"/>
      <c r="B47" s="359" t="s">
        <v>439</v>
      </c>
      <c r="C47" s="871" t="s">
        <v>440</v>
      </c>
      <c r="D47" s="872"/>
      <c r="E47" s="473">
        <f>'OLD front'!E50</f>
        <v>0</v>
      </c>
      <c r="F47" s="362"/>
    </row>
    <row r="48" spans="1:6" s="346" customFormat="1" ht="20.25" customHeight="1">
      <c r="A48" s="373"/>
      <c r="B48" s="360" t="s">
        <v>441</v>
      </c>
      <c r="C48" s="895" t="s">
        <v>442</v>
      </c>
      <c r="D48" s="896"/>
      <c r="E48" s="353">
        <f>'OLD front'!E51</f>
        <v>0</v>
      </c>
      <c r="F48" s="366"/>
    </row>
    <row r="49" spans="1:7" ht="32.25" customHeight="1">
      <c r="A49" s="892" t="s">
        <v>329</v>
      </c>
      <c r="B49" s="892"/>
      <c r="C49" s="892"/>
      <c r="D49" s="892"/>
      <c r="E49" s="892"/>
      <c r="F49" s="892"/>
    </row>
    <row r="50" spans="1:7" ht="39.75" customHeight="1">
      <c r="A50" s="867" t="s">
        <v>443</v>
      </c>
      <c r="B50" s="867"/>
      <c r="C50" s="867"/>
      <c r="D50" s="867"/>
      <c r="E50" s="867"/>
      <c r="F50" s="867"/>
    </row>
    <row r="51" spans="1:7">
      <c r="A51" s="374"/>
      <c r="B51" s="374"/>
      <c r="C51" s="374"/>
      <c r="D51" s="374"/>
      <c r="E51" s="374"/>
      <c r="F51" s="374"/>
    </row>
    <row r="52" spans="1:7" ht="21.75" customHeight="1">
      <c r="A52" s="861" t="s">
        <v>444</v>
      </c>
      <c r="B52" s="861"/>
      <c r="C52" s="474">
        <f>'OLD front'!B75</f>
        <v>0</v>
      </c>
      <c r="D52" s="316"/>
      <c r="E52" s="316"/>
      <c r="F52" s="316"/>
      <c r="G52" s="473"/>
    </row>
    <row r="53" spans="1:7" ht="21.75" customHeight="1">
      <c r="A53" s="861" t="s">
        <v>445</v>
      </c>
      <c r="B53" s="861"/>
      <c r="C53" s="474">
        <f>'OLD front'!B76</f>
        <v>0</v>
      </c>
      <c r="D53" s="316"/>
      <c r="E53" s="316"/>
      <c r="F53" s="316"/>
      <c r="G53" s="473"/>
    </row>
    <row r="54" spans="1:7" ht="21.75" customHeight="1">
      <c r="A54" s="316"/>
      <c r="B54" s="316"/>
      <c r="C54" s="316"/>
      <c r="D54" s="316"/>
      <c r="E54" s="862" t="s">
        <v>446</v>
      </c>
      <c r="F54" s="862"/>
      <c r="G54" s="473"/>
    </row>
    <row r="55" spans="1:7" ht="21.75" customHeight="1">
      <c r="A55" s="863" t="str">
        <f>"Designation : " &amp;'Fill white Cells '!E4</f>
        <v xml:space="preserve">Designation : </v>
      </c>
      <c r="B55" s="863"/>
      <c r="C55" s="863"/>
      <c r="D55" s="863"/>
      <c r="E55" s="375" t="s">
        <v>447</v>
      </c>
      <c r="F55" s="475">
        <f>'Fill white Cells '!E3</f>
        <v>0</v>
      </c>
      <c r="G55" s="473"/>
    </row>
    <row r="56" spans="1:7" hidden="1">
      <c r="A56" s="473"/>
      <c r="B56" s="473"/>
      <c r="C56" s="473"/>
      <c r="D56" s="473"/>
      <c r="E56" s="473"/>
      <c r="F56" s="473"/>
      <c r="G56" s="473"/>
    </row>
    <row r="57" spans="1:7" hidden="1">
      <c r="A57" s="473"/>
      <c r="B57" s="473"/>
      <c r="C57" s="473"/>
      <c r="D57" s="473"/>
      <c r="E57" s="473"/>
      <c r="F57" s="473"/>
      <c r="G57" s="473"/>
    </row>
    <row r="58" spans="1:7" hidden="1">
      <c r="A58" s="473"/>
      <c r="B58" s="473"/>
      <c r="C58" s="473"/>
      <c r="D58" s="473"/>
      <c r="E58" s="473"/>
      <c r="F58" s="473"/>
      <c r="G58" s="473"/>
    </row>
  </sheetData>
  <sheetProtection password="DD74" sheet="1" objects="1" scenarios="1"/>
  <mergeCells count="58">
    <mergeCell ref="C28:D28"/>
    <mergeCell ref="C38:D38"/>
    <mergeCell ref="C39:D39"/>
    <mergeCell ref="B41:D41"/>
    <mergeCell ref="A49:F49"/>
    <mergeCell ref="C32:D32"/>
    <mergeCell ref="C33:D33"/>
    <mergeCell ref="C34:D34"/>
    <mergeCell ref="C35:D35"/>
    <mergeCell ref="C36:D36"/>
    <mergeCell ref="C37:D37"/>
    <mergeCell ref="C40:D40"/>
    <mergeCell ref="C43:D43"/>
    <mergeCell ref="C44:D44"/>
    <mergeCell ref="C48:D48"/>
    <mergeCell ref="C29:D29"/>
    <mergeCell ref="C30:D30"/>
    <mergeCell ref="C31:D31"/>
    <mergeCell ref="A1:F1"/>
    <mergeCell ref="A2:F2"/>
    <mergeCell ref="A3:F3"/>
    <mergeCell ref="C22:D22"/>
    <mergeCell ref="B9:D9"/>
    <mergeCell ref="B10:D10"/>
    <mergeCell ref="B16:D16"/>
    <mergeCell ref="B11:D11"/>
    <mergeCell ref="C12:D12"/>
    <mergeCell ref="C13:D13"/>
    <mergeCell ref="C14:D14"/>
    <mergeCell ref="C15:D15"/>
    <mergeCell ref="B17:D17"/>
    <mergeCell ref="B18:D18"/>
    <mergeCell ref="C19:D19"/>
    <mergeCell ref="C20:D20"/>
    <mergeCell ref="A4:C4"/>
    <mergeCell ref="A5:C5"/>
    <mergeCell ref="A6:C6"/>
    <mergeCell ref="A7:C7"/>
    <mergeCell ref="D4:F4"/>
    <mergeCell ref="D5:F5"/>
    <mergeCell ref="D6:F6"/>
    <mergeCell ref="D7:F7"/>
    <mergeCell ref="A52:B52"/>
    <mergeCell ref="A53:B53"/>
    <mergeCell ref="E54:F54"/>
    <mergeCell ref="A55:D55"/>
    <mergeCell ref="A8:F8"/>
    <mergeCell ref="C21:D21"/>
    <mergeCell ref="A50:F50"/>
    <mergeCell ref="C23:D23"/>
    <mergeCell ref="C24:D24"/>
    <mergeCell ref="C25:D25"/>
    <mergeCell ref="B26:D26"/>
    <mergeCell ref="B27:D27"/>
    <mergeCell ref="C42:D42"/>
    <mergeCell ref="C46:D46"/>
    <mergeCell ref="C47:D47"/>
    <mergeCell ref="C45:D45"/>
  </mergeCells>
  <pageMargins left="0.75" right="0.7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00000"/>
  </sheetPr>
  <dimension ref="A1:BP39"/>
  <sheetViews>
    <sheetView showGridLines="0" view="pageBreakPreview" zoomScale="90" zoomScaleSheetLayoutView="90" workbookViewId="0">
      <selection activeCell="Q10" sqref="Q10:R10"/>
    </sheetView>
  </sheetViews>
  <sheetFormatPr defaultColWidth="0" defaultRowHeight="15" zeroHeight="1"/>
  <cols>
    <col min="1" max="1" width="1.85546875" style="54" customWidth="1"/>
    <col min="2" max="2" width="5.7109375" style="54" customWidth="1"/>
    <col min="3" max="3" width="1.140625" style="54" hidden="1" customWidth="1"/>
    <col min="4" max="4" width="6.7109375" style="54" customWidth="1"/>
    <col min="5" max="15" width="4.5703125" style="54" customWidth="1"/>
    <col min="16" max="16" width="8.7109375" style="54" customWidth="1"/>
    <col min="17" max="18" width="5" style="54" customWidth="1"/>
    <col min="19" max="19" width="1.42578125" style="54" customWidth="1"/>
    <col min="20" max="20" width="4.7109375" style="145" hidden="1" customWidth="1"/>
    <col min="21" max="53" width="6.140625" style="145" hidden="1" customWidth="1"/>
    <col min="54" max="59" width="4.7109375" style="145" hidden="1" customWidth="1"/>
    <col min="60" max="60" width="5.5703125" style="145" hidden="1" customWidth="1"/>
    <col min="61" max="61" width="6.140625" style="262" hidden="1" customWidth="1"/>
    <col min="62" max="62" width="6.7109375" style="262" hidden="1" customWidth="1"/>
    <col min="63" max="63" width="5.5703125" style="262" hidden="1" customWidth="1"/>
    <col min="64" max="64" width="4.7109375" style="262" hidden="1" customWidth="1"/>
    <col min="65" max="68" width="3.42578125" style="262" hidden="1" customWidth="1"/>
    <col min="69" max="16384" width="3.42578125" style="145" hidden="1"/>
  </cols>
  <sheetData>
    <row r="1" spans="1:68" s="144" customFormat="1" ht="19.5" customHeight="1">
      <c r="A1" s="921" t="s">
        <v>448</v>
      </c>
      <c r="B1" s="921"/>
      <c r="C1" s="921"/>
      <c r="D1" s="921"/>
      <c r="E1" s="921"/>
      <c r="F1" s="921"/>
      <c r="G1" s="921"/>
      <c r="H1" s="921"/>
      <c r="I1" s="921"/>
      <c r="J1" s="921"/>
      <c r="K1" s="921"/>
      <c r="L1" s="921"/>
      <c r="M1" s="921"/>
      <c r="N1" s="921"/>
      <c r="O1" s="921"/>
      <c r="P1" s="921"/>
      <c r="Q1" s="921"/>
      <c r="R1" s="921"/>
      <c r="S1" s="921"/>
      <c r="T1" s="146"/>
      <c r="U1" s="146"/>
      <c r="BI1" s="261"/>
      <c r="BJ1" s="261"/>
      <c r="BK1" s="261"/>
      <c r="BL1" s="261"/>
      <c r="BM1" s="261"/>
      <c r="BN1" s="261"/>
      <c r="BO1" s="261"/>
      <c r="BP1" s="261"/>
    </row>
    <row r="2" spans="1:68" s="144" customFormat="1" ht="19.5" customHeight="1" thickBot="1">
      <c r="A2" s="912" t="s">
        <v>141</v>
      </c>
      <c r="B2" s="912"/>
      <c r="C2" s="912"/>
      <c r="D2" s="912"/>
      <c r="E2" s="912"/>
      <c r="F2" s="912"/>
      <c r="G2" s="912"/>
      <c r="H2" s="470"/>
      <c r="I2" s="470"/>
      <c r="J2" s="470"/>
      <c r="K2" s="470"/>
      <c r="L2" s="470"/>
      <c r="M2" s="470"/>
      <c r="N2" s="924" t="s">
        <v>142</v>
      </c>
      <c r="O2" s="924"/>
      <c r="P2" s="924"/>
      <c r="Q2" s="924"/>
      <c r="R2" s="924"/>
      <c r="S2" s="924"/>
      <c r="T2" s="147"/>
      <c r="U2" s="147"/>
      <c r="BI2" s="261"/>
      <c r="BJ2" s="261"/>
      <c r="BK2" s="261"/>
      <c r="BL2" s="261"/>
      <c r="BM2" s="261"/>
      <c r="BN2" s="261"/>
      <c r="BO2" s="261"/>
      <c r="BP2" s="261"/>
    </row>
    <row r="3" spans="1:68" s="144" customFormat="1" ht="19.5" customHeight="1">
      <c r="A3" s="112"/>
      <c r="B3" s="923" t="s">
        <v>449</v>
      </c>
      <c r="C3" s="922"/>
      <c r="D3" s="922"/>
      <c r="E3" s="922" t="str">
        <f>": " &amp; 'Fill white Cells '!E3</f>
        <v xml:space="preserve">: </v>
      </c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  <c r="Q3" s="110"/>
      <c r="R3" s="111"/>
      <c r="S3" s="109"/>
      <c r="BI3" s="261"/>
      <c r="BJ3" s="261"/>
      <c r="BK3" s="261"/>
      <c r="BL3" s="261"/>
      <c r="BM3" s="261"/>
      <c r="BN3" s="261"/>
      <c r="BO3" s="261"/>
      <c r="BP3" s="261"/>
    </row>
    <row r="4" spans="1:68" s="144" customFormat="1" ht="19.5" customHeight="1">
      <c r="A4" s="112"/>
      <c r="B4" s="902" t="s">
        <v>450</v>
      </c>
      <c r="C4" s="900"/>
      <c r="D4" s="900"/>
      <c r="E4" s="900" t="str">
        <f>": " &amp; 'Fill white Cells '!E9</f>
        <v xml:space="preserve">: </v>
      </c>
      <c r="F4" s="900"/>
      <c r="G4" s="900"/>
      <c r="H4" s="900"/>
      <c r="I4" s="900"/>
      <c r="J4" s="112"/>
      <c r="K4" s="112"/>
      <c r="L4" s="109"/>
      <c r="M4" s="109"/>
      <c r="N4" s="109"/>
      <c r="O4" s="109"/>
      <c r="P4" s="109"/>
      <c r="Q4" s="109"/>
      <c r="R4" s="113"/>
      <c r="S4" s="109"/>
      <c r="BI4" s="261"/>
      <c r="BJ4" s="261"/>
      <c r="BK4" s="261"/>
      <c r="BL4" s="261"/>
      <c r="BM4" s="261"/>
      <c r="BN4" s="261"/>
      <c r="BO4" s="261"/>
      <c r="BP4" s="261"/>
    </row>
    <row r="5" spans="1:68" s="144" customFormat="1" ht="19.5" customHeight="1">
      <c r="A5" s="112"/>
      <c r="B5" s="903" t="s">
        <v>451</v>
      </c>
      <c r="C5" s="904"/>
      <c r="D5" s="904"/>
      <c r="E5" s="900" t="str">
        <f>": " &amp; 'Fill white Cells '!E4</f>
        <v xml:space="preserve">: </v>
      </c>
      <c r="F5" s="900"/>
      <c r="G5" s="900"/>
      <c r="H5" s="900"/>
      <c r="I5" s="900"/>
      <c r="J5" s="900"/>
      <c r="K5" s="900"/>
      <c r="L5" s="900"/>
      <c r="M5" s="900"/>
      <c r="N5" s="900"/>
      <c r="O5" s="900"/>
      <c r="P5" s="900"/>
      <c r="Q5" s="900"/>
      <c r="R5" s="901"/>
      <c r="S5" s="109"/>
      <c r="BI5" s="261"/>
      <c r="BJ5" s="261"/>
      <c r="BK5" s="261"/>
      <c r="BL5" s="261"/>
      <c r="BM5" s="261"/>
      <c r="BN5" s="261"/>
      <c r="BO5" s="261"/>
      <c r="BP5" s="261"/>
    </row>
    <row r="6" spans="1:68" s="144" customFormat="1" ht="19.5" customHeight="1" thickBot="1">
      <c r="A6" s="102"/>
      <c r="B6" s="932" t="s">
        <v>452</v>
      </c>
      <c r="C6" s="933"/>
      <c r="D6" s="933"/>
      <c r="E6" s="898" t="str">
        <f>": " &amp; 'Fill white Cells '!E7 &amp; ", " &amp; 'Fill white Cells '!E8</f>
        <v xml:space="preserve">: ., </v>
      </c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/>
      <c r="Q6" s="898"/>
      <c r="R6" s="899"/>
      <c r="S6" s="109"/>
      <c r="BI6" s="261"/>
      <c r="BJ6" s="261"/>
      <c r="BK6" s="261"/>
      <c r="BL6" s="261"/>
      <c r="BM6" s="261"/>
      <c r="BN6" s="261"/>
      <c r="BO6" s="261"/>
      <c r="BP6" s="261"/>
    </row>
    <row r="7" spans="1:68" ht="15.75" thickBot="1">
      <c r="A7" s="22"/>
      <c r="B7" s="16"/>
      <c r="C7" s="22"/>
      <c r="D7" s="22"/>
      <c r="E7" s="23"/>
    </row>
    <row r="8" spans="1:68" s="144" customFormat="1" ht="22.5" customHeight="1">
      <c r="A8" s="109"/>
      <c r="B8" s="24" t="s">
        <v>453</v>
      </c>
      <c r="C8" s="114"/>
      <c r="D8" s="919" t="s">
        <v>125</v>
      </c>
      <c r="E8" s="919"/>
      <c r="F8" s="919"/>
      <c r="G8" s="919"/>
      <c r="H8" s="919"/>
      <c r="I8" s="919"/>
      <c r="J8" s="919"/>
      <c r="K8" s="919"/>
      <c r="L8" s="919"/>
      <c r="M8" s="919"/>
      <c r="N8" s="919"/>
      <c r="O8" s="919"/>
      <c r="P8" s="919"/>
      <c r="Q8" s="934" t="s">
        <v>129</v>
      </c>
      <c r="R8" s="935"/>
      <c r="S8" s="109"/>
      <c r="BI8" s="261"/>
      <c r="BJ8" s="261"/>
      <c r="BK8" s="261"/>
      <c r="BL8" s="261"/>
      <c r="BM8" s="261"/>
      <c r="BN8" s="261"/>
      <c r="BO8" s="261"/>
      <c r="BP8" s="261"/>
    </row>
    <row r="9" spans="1:68" ht="22.5" customHeight="1">
      <c r="B9" s="478">
        <v>1</v>
      </c>
      <c r="C9" s="115"/>
      <c r="D9" s="917" t="s">
        <v>454</v>
      </c>
      <c r="E9" s="917"/>
      <c r="F9" s="917"/>
      <c r="G9" s="917"/>
      <c r="H9" s="917"/>
      <c r="I9" s="917"/>
      <c r="J9" s="917"/>
      <c r="K9" s="917"/>
      <c r="L9" s="917"/>
      <c r="M9" s="917"/>
      <c r="N9" s="917"/>
      <c r="O9" s="917"/>
      <c r="P9" s="917"/>
      <c r="Q9" s="936">
        <f>'NEW back'!J30</f>
        <v>0</v>
      </c>
      <c r="R9" s="909"/>
    </row>
    <row r="10" spans="1:68" ht="22.5" customHeight="1">
      <c r="B10" s="478">
        <v>2</v>
      </c>
      <c r="C10" s="115"/>
      <c r="D10" s="116" t="s">
        <v>455</v>
      </c>
      <c r="E10" s="642" t="s">
        <v>149</v>
      </c>
      <c r="F10" s="642"/>
      <c r="G10" s="642"/>
      <c r="H10" s="642"/>
      <c r="I10" s="642"/>
      <c r="J10" s="642"/>
      <c r="K10" s="642"/>
      <c r="L10" s="642"/>
      <c r="M10" s="642"/>
      <c r="N10" s="642"/>
      <c r="O10" s="642"/>
      <c r="P10" s="642"/>
      <c r="Q10" s="937"/>
      <c r="R10" s="938"/>
    </row>
    <row r="11" spans="1:68" ht="22.5" customHeight="1">
      <c r="B11" s="478" t="s">
        <v>456</v>
      </c>
      <c r="C11" s="115"/>
      <c r="D11" s="116" t="s">
        <v>457</v>
      </c>
      <c r="E11" s="642" t="s">
        <v>458</v>
      </c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928">
        <f>'Fill white Cells '!D33</f>
        <v>0</v>
      </c>
      <c r="R11" s="929"/>
    </row>
    <row r="12" spans="1:68" ht="22.5" customHeight="1">
      <c r="B12" s="478" t="s">
        <v>459</v>
      </c>
      <c r="C12" s="115"/>
      <c r="D12" s="116" t="s">
        <v>457</v>
      </c>
      <c r="E12" s="642" t="s">
        <v>460</v>
      </c>
      <c r="F12" s="642"/>
      <c r="G12" s="642"/>
      <c r="H12" s="642"/>
      <c r="I12" s="642"/>
      <c r="J12" s="642"/>
      <c r="K12" s="642"/>
      <c r="L12" s="642"/>
      <c r="M12" s="642"/>
      <c r="N12" s="642"/>
      <c r="O12" s="642"/>
      <c r="P12" s="642"/>
      <c r="Q12" s="928">
        <f>'Fill white Cells '!E51</f>
        <v>0</v>
      </c>
      <c r="R12" s="929"/>
    </row>
    <row r="13" spans="1:68" ht="22.5" customHeight="1">
      <c r="B13" s="478" t="s">
        <v>461</v>
      </c>
      <c r="C13" s="115"/>
      <c r="D13" s="116" t="s">
        <v>457</v>
      </c>
      <c r="E13" s="642" t="s">
        <v>462</v>
      </c>
      <c r="F13" s="642"/>
      <c r="G13" s="642"/>
      <c r="H13" s="642"/>
      <c r="I13" s="642"/>
      <c r="J13" s="642"/>
      <c r="K13" s="642"/>
      <c r="L13" s="642"/>
      <c r="M13" s="642"/>
      <c r="N13" s="642"/>
      <c r="O13" s="642"/>
      <c r="P13" s="642"/>
      <c r="Q13" s="930">
        <v>75000</v>
      </c>
      <c r="R13" s="931"/>
    </row>
    <row r="14" spans="1:68" ht="22.5" customHeight="1">
      <c r="B14" s="478">
        <v>4</v>
      </c>
      <c r="C14" s="115"/>
      <c r="D14" s="918" t="str">
        <f>"TAXABLE INCOME (COL1+2-3i-3ii = "&amp;(Q9+Q10-Q11-Q12)&amp;") ROUNDED TO NEAREST  TEN"</f>
        <v>TAXABLE INCOME (COL1+2-3i-3ii = 0) ROUNDED TO NEAREST  TEN</v>
      </c>
      <c r="E14" s="918"/>
      <c r="F14" s="918"/>
      <c r="G14" s="918"/>
      <c r="H14" s="918"/>
      <c r="I14" s="918"/>
      <c r="J14" s="918"/>
      <c r="K14" s="918"/>
      <c r="L14" s="918"/>
      <c r="M14" s="918"/>
      <c r="N14" s="918"/>
      <c r="O14" s="918"/>
      <c r="P14" s="918"/>
      <c r="Q14" s="939">
        <f>MROUND((Q9+Q10-Q11-Q12),10)-Q13</f>
        <v>-75000</v>
      </c>
      <c r="R14" s="916"/>
    </row>
    <row r="15" spans="1:68" ht="22.5" customHeight="1">
      <c r="B15" s="905">
        <v>5</v>
      </c>
      <c r="C15" s="115"/>
      <c r="D15" s="920" t="s">
        <v>463</v>
      </c>
      <c r="E15" s="920"/>
      <c r="F15" s="920"/>
      <c r="G15" s="920"/>
      <c r="H15" s="920"/>
      <c r="I15" s="920"/>
      <c r="J15" s="920"/>
      <c r="K15" s="920"/>
      <c r="L15" s="920"/>
      <c r="M15" s="920"/>
      <c r="N15" s="920"/>
      <c r="O15" s="920"/>
      <c r="P15" s="920"/>
      <c r="Q15" s="920"/>
      <c r="R15" s="940"/>
    </row>
    <row r="16" spans="1:68" ht="22.5" customHeight="1">
      <c r="B16" s="905"/>
      <c r="C16" s="115"/>
      <c r="D16" s="117" t="s">
        <v>464</v>
      </c>
      <c r="E16" s="920" t="s">
        <v>465</v>
      </c>
      <c r="F16" s="920"/>
      <c r="G16" s="920"/>
      <c r="H16" s="920"/>
      <c r="I16" s="920"/>
      <c r="J16" s="920"/>
      <c r="K16" s="920"/>
      <c r="L16" s="920"/>
      <c r="M16" s="920"/>
      <c r="N16" s="920"/>
      <c r="O16" s="920"/>
      <c r="P16" s="440">
        <v>300000</v>
      </c>
      <c r="Q16" s="915" t="s">
        <v>187</v>
      </c>
      <c r="R16" s="916"/>
    </row>
    <row r="17" spans="2:63" ht="22.5" customHeight="1">
      <c r="B17" s="905"/>
      <c r="C17" s="115"/>
      <c r="D17" s="117" t="s">
        <v>466</v>
      </c>
      <c r="E17" s="920" t="s">
        <v>467</v>
      </c>
      <c r="F17" s="920"/>
      <c r="G17" s="920"/>
      <c r="H17" s="920"/>
      <c r="I17" s="920"/>
      <c r="J17" s="920"/>
      <c r="K17" s="920"/>
      <c r="L17" s="920"/>
      <c r="M17" s="920"/>
      <c r="N17" s="920"/>
      <c r="O17" s="920"/>
      <c r="P17" s="440">
        <f>IF(P16&gt;Q14,0,IF((Q14-P16)&gt;400000,"400000",Q14-P16))</f>
        <v>0</v>
      </c>
      <c r="Q17" s="915">
        <f>(ROUND((P17)*(5/100),0))</f>
        <v>0</v>
      </c>
      <c r="R17" s="916"/>
    </row>
    <row r="18" spans="2:63" ht="22.5" customHeight="1">
      <c r="B18" s="905"/>
      <c r="C18" s="115"/>
      <c r="D18" s="117" t="s">
        <v>468</v>
      </c>
      <c r="E18" s="920" t="s">
        <v>469</v>
      </c>
      <c r="F18" s="920"/>
      <c r="G18" s="920"/>
      <c r="H18" s="920"/>
      <c r="I18" s="920"/>
      <c r="J18" s="920"/>
      <c r="K18" s="920"/>
      <c r="L18" s="920"/>
      <c r="M18" s="920"/>
      <c r="N18" s="920"/>
      <c r="O18" s="920"/>
      <c r="P18" s="440">
        <f>IF(P16&gt;Q14,0,IF((Q14-P16)&gt;700000,"300000",Q14-(P16+P17)))</f>
        <v>0</v>
      </c>
      <c r="Q18" s="915">
        <f>(ROUND((P18)*(10/100),0))</f>
        <v>0</v>
      </c>
      <c r="R18" s="916"/>
    </row>
    <row r="19" spans="2:63" ht="22.5" customHeight="1">
      <c r="B19" s="905"/>
      <c r="C19" s="115"/>
      <c r="D19" s="117" t="s">
        <v>470</v>
      </c>
      <c r="E19" s="920" t="s">
        <v>471</v>
      </c>
      <c r="F19" s="920"/>
      <c r="G19" s="920"/>
      <c r="H19" s="920"/>
      <c r="I19" s="920"/>
      <c r="J19" s="920"/>
      <c r="K19" s="920"/>
      <c r="L19" s="920"/>
      <c r="M19" s="920"/>
      <c r="N19" s="920"/>
      <c r="O19" s="920"/>
      <c r="P19" s="118">
        <f>IF(P16&gt;Q14,0,IF((Q14-(P16))&gt;900000,"200000",Q14-(P16+P17+P18)))</f>
        <v>0</v>
      </c>
      <c r="Q19" s="915">
        <f>(ROUND((P19)*(15/100),0))</f>
        <v>0</v>
      </c>
      <c r="R19" s="916"/>
    </row>
    <row r="20" spans="2:63" ht="22.5" customHeight="1">
      <c r="B20" s="905"/>
      <c r="C20" s="115"/>
      <c r="D20" s="117" t="s">
        <v>472</v>
      </c>
      <c r="E20" s="920" t="s">
        <v>473</v>
      </c>
      <c r="F20" s="920"/>
      <c r="G20" s="920"/>
      <c r="H20" s="920"/>
      <c r="I20" s="920"/>
      <c r="J20" s="920"/>
      <c r="K20" s="920"/>
      <c r="L20" s="920"/>
      <c r="M20" s="920"/>
      <c r="N20" s="920"/>
      <c r="O20" s="920"/>
      <c r="P20" s="118">
        <f>IF(P16&gt;Q14,0,IF((Q14-(P16))&gt;1200000,"300000",Q14-(P16+P17+P18+P19)))</f>
        <v>0</v>
      </c>
      <c r="Q20" s="915">
        <f>(ROUND((P20)*(20/100),0))</f>
        <v>0</v>
      </c>
      <c r="R20" s="916"/>
    </row>
    <row r="21" spans="2:63" ht="22.5" hidden="1" customHeight="1">
      <c r="B21" s="905"/>
      <c r="C21" s="115"/>
      <c r="D21" s="117"/>
      <c r="E21" s="920"/>
      <c r="F21" s="920"/>
      <c r="G21" s="920"/>
      <c r="H21" s="920"/>
      <c r="I21" s="920"/>
      <c r="J21" s="920"/>
      <c r="K21" s="920"/>
      <c r="L21" s="920"/>
      <c r="M21" s="920"/>
      <c r="N21" s="920"/>
      <c r="O21" s="920"/>
      <c r="P21" s="118"/>
      <c r="Q21" s="915"/>
      <c r="R21" s="916"/>
    </row>
    <row r="22" spans="2:63" ht="22.5" customHeight="1">
      <c r="B22" s="905"/>
      <c r="C22" s="115"/>
      <c r="D22" s="117" t="s">
        <v>474</v>
      </c>
      <c r="E22" s="920" t="s">
        <v>475</v>
      </c>
      <c r="F22" s="920"/>
      <c r="G22" s="920"/>
      <c r="H22" s="920"/>
      <c r="I22" s="920"/>
      <c r="J22" s="920"/>
      <c r="K22" s="920"/>
      <c r="L22" s="920"/>
      <c r="M22" s="920"/>
      <c r="N22" s="920"/>
      <c r="O22" s="920"/>
      <c r="P22" s="118">
        <f>IF(P16&gt;Q14,0, Q14-(P16+P17+P18+P19+P20))</f>
        <v>0</v>
      </c>
      <c r="Q22" s="915">
        <f>(ROUND((P22)*(30/100),0))</f>
        <v>0</v>
      </c>
      <c r="R22" s="916"/>
    </row>
    <row r="23" spans="2:63" ht="31.5" customHeight="1">
      <c r="B23" s="478">
        <v>6</v>
      </c>
      <c r="C23" s="115"/>
      <c r="D23" s="918" t="str">
        <f>"TAX PAYABLE ON TAXABLE INCOME Rs."&amp;(P16+P17+P18+P19+P20+P21+P22)&amp;"/-"</f>
        <v>TAX PAYABLE ON TAXABLE INCOME Rs.300000/-</v>
      </c>
      <c r="E23" s="918"/>
      <c r="F23" s="918"/>
      <c r="G23" s="918"/>
      <c r="H23" s="918"/>
      <c r="I23" s="918"/>
      <c r="J23" s="918"/>
      <c r="K23" s="918"/>
      <c r="L23" s="918"/>
      <c r="M23" s="918"/>
      <c r="N23" s="918"/>
      <c r="O23" s="918"/>
      <c r="P23" s="918"/>
      <c r="Q23" s="936">
        <f>IF('Fill white Cells '!E16="YES",MROUND(SUM(Q17:Q22),10),SUM(Q17:Q22))</f>
        <v>0</v>
      </c>
      <c r="R23" s="909"/>
    </row>
    <row r="24" spans="2:63" ht="22.5" customHeight="1">
      <c r="B24" s="478">
        <v>7</v>
      </c>
      <c r="C24" s="115"/>
      <c r="D24" s="116" t="s">
        <v>476</v>
      </c>
      <c r="E24" s="689" t="s">
        <v>477</v>
      </c>
      <c r="F24" s="690"/>
      <c r="G24" s="690"/>
      <c r="H24" s="690"/>
      <c r="I24" s="690"/>
      <c r="J24" s="690"/>
      <c r="K24" s="690"/>
      <c r="L24" s="690"/>
      <c r="M24" s="690"/>
      <c r="N24" s="690"/>
      <c r="O24" s="690"/>
      <c r="P24" s="691"/>
      <c r="Q24" s="915">
        <f>IF(Q23-(Q14-700000)&gt;=20001,20000,IF(Q23-(Q14-700000)&gt;0,Q23-(Q14-700000),0))</f>
        <v>20000</v>
      </c>
      <c r="R24" s="916"/>
    </row>
    <row r="25" spans="2:63" ht="22.5" customHeight="1">
      <c r="B25" s="478">
        <v>8</v>
      </c>
      <c r="C25" s="115"/>
      <c r="D25" s="918" t="s">
        <v>478</v>
      </c>
      <c r="E25" s="918"/>
      <c r="F25" s="918"/>
      <c r="G25" s="918"/>
      <c r="H25" s="918"/>
      <c r="I25" s="918"/>
      <c r="J25" s="918"/>
      <c r="K25" s="918"/>
      <c r="L25" s="918"/>
      <c r="M25" s="918"/>
      <c r="N25" s="918"/>
      <c r="O25" s="918"/>
      <c r="P25" s="918"/>
      <c r="Q25" s="928">
        <f>IF(BJ27&lt;0,0,(Q23-Q24))</f>
        <v>0</v>
      </c>
      <c r="R25" s="929"/>
    </row>
    <row r="26" spans="2:63" ht="22.5" customHeight="1">
      <c r="B26" s="478">
        <v>9</v>
      </c>
      <c r="C26" s="115"/>
      <c r="D26" s="116" t="s">
        <v>457</v>
      </c>
      <c r="E26" s="680" t="s">
        <v>479</v>
      </c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2"/>
      <c r="Q26" s="915">
        <f>'Fill white Cells '!D35</f>
        <v>0</v>
      </c>
      <c r="R26" s="916"/>
    </row>
    <row r="27" spans="2:63" ht="22.5" customHeight="1">
      <c r="B27" s="478">
        <v>10</v>
      </c>
      <c r="C27" s="115"/>
      <c r="D27" s="918" t="s">
        <v>480</v>
      </c>
      <c r="E27" s="918"/>
      <c r="F27" s="918"/>
      <c r="G27" s="918"/>
      <c r="H27" s="918"/>
      <c r="I27" s="918"/>
      <c r="J27" s="918"/>
      <c r="K27" s="918"/>
      <c r="L27" s="918"/>
      <c r="M27" s="918"/>
      <c r="N27" s="918"/>
      <c r="O27" s="918"/>
      <c r="P27" s="918"/>
      <c r="Q27" s="915">
        <f>Q25-Q26</f>
        <v>0</v>
      </c>
      <c r="R27" s="916"/>
      <c r="BJ27" s="262">
        <f>Q23-Q24</f>
        <v>-20000</v>
      </c>
    </row>
    <row r="28" spans="2:63" ht="22.5" customHeight="1">
      <c r="B28" s="478">
        <v>11</v>
      </c>
      <c r="C28" s="115"/>
      <c r="D28" s="116" t="s">
        <v>455</v>
      </c>
      <c r="E28" s="642" t="s">
        <v>481</v>
      </c>
      <c r="F28" s="642"/>
      <c r="G28" s="642"/>
      <c r="H28" s="642"/>
      <c r="I28" s="642"/>
      <c r="J28" s="642"/>
      <c r="K28" s="642"/>
      <c r="L28" s="642"/>
      <c r="M28" s="642"/>
      <c r="N28" s="642"/>
      <c r="O28" s="642"/>
      <c r="P28" s="642"/>
      <c r="Q28" s="915">
        <f>IF('Fill white Cells '!E16="YES",MROUND((Q27*0.04),10),ROUND(Q27*0.04,0))</f>
        <v>0</v>
      </c>
      <c r="R28" s="916"/>
    </row>
    <row r="29" spans="2:63" ht="22.5" hidden="1" customHeight="1">
      <c r="B29" s="478"/>
      <c r="C29" s="11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BI29" s="262">
        <f>Q26/1.04</f>
        <v>0</v>
      </c>
      <c r="BJ29" s="262">
        <f>Q26-BI29</f>
        <v>0</v>
      </c>
    </row>
    <row r="30" spans="2:63" ht="22.5" customHeight="1">
      <c r="B30" s="478">
        <v>12</v>
      </c>
      <c r="C30" s="115"/>
      <c r="D30" s="119" t="s">
        <v>457</v>
      </c>
      <c r="E30" s="927" t="str">
        <f xml:space="preserve"> "PRE-PAID TAX FOR 2024-2025 (TAX :" &amp; BJ30 &amp; " + CESS :"&amp;BK30&amp;")"</f>
        <v>PRE-PAID TAX FOR 2024-2025 (TAX :0 + CESS :0)</v>
      </c>
      <c r="F30" s="927"/>
      <c r="G30" s="927"/>
      <c r="H30" s="927"/>
      <c r="I30" s="927"/>
      <c r="J30" s="927"/>
      <c r="K30" s="927"/>
      <c r="L30" s="927"/>
      <c r="M30" s="927"/>
      <c r="N30" s="927"/>
      <c r="O30" s="927"/>
      <c r="P30" s="927"/>
      <c r="Q30" s="915">
        <f>BJ30+BK30</f>
        <v>0</v>
      </c>
      <c r="R30" s="916"/>
      <c r="BJ30" s="262">
        <f>'NEW back'!Q9+'NEW back'!Q10+'NEW back'!Q11+'NEW back'!Q12+'NEW back'!Q13+'NEW back'!Q14+'NEW back'!Q15+'NEW back'!Q16+'NEW back'!Q17+'NEW back'!Q18+'NEW back'!Q19+'NEW back'!Q26+'NEW back'!Q27+'NEW back'!Q28+'NEW back'!Q29</f>
        <v>0</v>
      </c>
      <c r="BK30" s="262">
        <f>'NEW back'!R9+'NEW back'!R10+'NEW back'!R11+'NEW back'!R12+'NEW back'!R13+'NEW back'!R14+'NEW back'!R15+'NEW back'!R16+'NEW back'!R17+'NEW back'!R18+'NEW back'!R19+'NEW back'!R26+'NEW back'!R27+'NEW back'!R28+'NEW back'!R29</f>
        <v>0</v>
      </c>
    </row>
    <row r="31" spans="2:63" ht="23.25" customHeight="1">
      <c r="B31" s="905">
        <v>13</v>
      </c>
      <c r="C31" s="120"/>
      <c r="D31" s="907" t="s">
        <v>195</v>
      </c>
      <c r="E31" s="907"/>
      <c r="F31" s="907"/>
      <c r="G31" s="907"/>
      <c r="H31" s="907"/>
      <c r="I31" s="907"/>
      <c r="J31" s="907"/>
      <c r="K31" s="907"/>
      <c r="L31" s="907"/>
      <c r="M31" s="907"/>
      <c r="N31" s="907"/>
      <c r="O31" s="907"/>
      <c r="P31" s="121"/>
      <c r="Q31" s="908">
        <f>'NEW back'!Q20+'NEW back'!R20</f>
        <v>0</v>
      </c>
      <c r="R31" s="909"/>
      <c r="BH31" s="262">
        <f>IF(BI31&lt;0,BI31*(-1),0)</f>
        <v>0</v>
      </c>
      <c r="BI31" s="262">
        <f>Q27-(BJ30+BI29)</f>
        <v>0</v>
      </c>
      <c r="BJ31" s="262">
        <f>IF(BI31&lt;0,0,BI31)</f>
        <v>0</v>
      </c>
      <c r="BK31" s="262">
        <f>IF(BI32&lt;0,0,BI32)</f>
        <v>0</v>
      </c>
    </row>
    <row r="32" spans="2:63" ht="14.25" customHeight="1" thickBot="1">
      <c r="B32" s="906"/>
      <c r="C32" s="122"/>
      <c r="D32" s="925" t="str">
        <f>IF(Q27+Q28&gt;='NEW back'!Q30+'NEW back'!R30,"[Tax :"&amp;'NEW back'!Q20&amp;" + Cess :"&amp;'NEW back'!R20&amp;"]","[Tax :"&amp;'NEW back'!Q20&amp;" + Cess :"&amp;'NEW back'!R20&amp;"] and Refund after IT Return : "&amp;('NEW back'!Q30+'NEW back'!R30)-(Q27+Q28))</f>
        <v>[Tax :0 + Cess :0]</v>
      </c>
      <c r="E32" s="925"/>
      <c r="F32" s="925"/>
      <c r="G32" s="925"/>
      <c r="H32" s="925"/>
      <c r="I32" s="925"/>
      <c r="J32" s="925"/>
      <c r="K32" s="925"/>
      <c r="L32" s="925"/>
      <c r="M32" s="925"/>
      <c r="N32" s="925"/>
      <c r="O32" s="925"/>
      <c r="P32" s="926"/>
      <c r="Q32" s="910"/>
      <c r="R32" s="911"/>
      <c r="BH32" s="262">
        <f>IF(BI32&lt;0,BI32*(-1),0)</f>
        <v>0</v>
      </c>
      <c r="BI32" s="262">
        <f>Q28-(BK30+BJ29)</f>
        <v>0</v>
      </c>
    </row>
    <row r="33" spans="1:68" s="144" customFormat="1" ht="18" customHeight="1">
      <c r="A33" s="46" t="s">
        <v>198</v>
      </c>
      <c r="B33" s="148"/>
      <c r="C33" s="148"/>
      <c r="D33" s="148"/>
      <c r="E33" s="148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BI33" s="261"/>
      <c r="BJ33" s="261"/>
      <c r="BK33" s="261"/>
      <c r="BL33" s="261"/>
      <c r="BM33" s="261"/>
      <c r="BN33" s="261"/>
      <c r="BO33" s="261"/>
      <c r="BP33" s="261"/>
    </row>
    <row r="34" spans="1:68" s="144" customFormat="1" ht="6" customHeight="1">
      <c r="A34" s="149"/>
      <c r="B34" s="150"/>
      <c r="C34" s="150"/>
      <c r="D34" s="150"/>
      <c r="E34" s="123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BI34" s="261"/>
      <c r="BJ34" s="261"/>
      <c r="BK34" s="261"/>
      <c r="BL34" s="261"/>
      <c r="BM34" s="261"/>
      <c r="BN34" s="261"/>
      <c r="BO34" s="261"/>
      <c r="BP34" s="261"/>
    </row>
    <row r="35" spans="1:68" s="144" customFormat="1" ht="15.75" customHeight="1">
      <c r="A35" s="912" t="s">
        <v>444</v>
      </c>
      <c r="B35" s="912"/>
      <c r="C35" s="150"/>
      <c r="D35" s="912">
        <f>'Fill white Cells '!E8</f>
        <v>0</v>
      </c>
      <c r="E35" s="912"/>
      <c r="F35" s="912"/>
      <c r="G35" s="912"/>
      <c r="H35" s="912"/>
      <c r="I35" s="912"/>
      <c r="J35" s="912"/>
      <c r="K35" s="109"/>
      <c r="L35" s="109"/>
      <c r="M35" s="109"/>
      <c r="N35" s="109"/>
      <c r="O35" s="109"/>
      <c r="P35" s="109"/>
      <c r="Q35" s="109"/>
      <c r="R35" s="109"/>
      <c r="S35" s="109"/>
      <c r="BI35" s="261"/>
      <c r="BJ35" s="261"/>
      <c r="BK35" s="261"/>
      <c r="BL35" s="261"/>
      <c r="BM35" s="261"/>
      <c r="BN35" s="261"/>
      <c r="BO35" s="261"/>
      <c r="BP35" s="261"/>
    </row>
    <row r="36" spans="1:68" s="144" customFormat="1" ht="15.75" customHeight="1">
      <c r="A36" s="912" t="s">
        <v>445</v>
      </c>
      <c r="B36" s="912"/>
      <c r="C36" s="150"/>
      <c r="D36" s="913"/>
      <c r="E36" s="913"/>
      <c r="F36" s="913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BI36" s="261"/>
      <c r="BJ36" s="261"/>
      <c r="BK36" s="261"/>
      <c r="BL36" s="261"/>
      <c r="BM36" s="261"/>
      <c r="BN36" s="261"/>
      <c r="BO36" s="261"/>
      <c r="BP36" s="261"/>
    </row>
    <row r="37" spans="1:68" s="144" customFormat="1" ht="13.5" customHeight="1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BI37" s="261"/>
      <c r="BJ37" s="261"/>
      <c r="BK37" s="261"/>
      <c r="BL37" s="261"/>
      <c r="BM37" s="261"/>
      <c r="BN37" s="261"/>
      <c r="BO37" s="261"/>
      <c r="BP37" s="261"/>
    </row>
    <row r="38" spans="1:68" s="144" customFormat="1" ht="15.75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BI38" s="261"/>
      <c r="BJ38" s="261"/>
      <c r="BK38" s="261"/>
      <c r="BL38" s="261"/>
      <c r="BM38" s="261"/>
      <c r="BN38" s="261"/>
      <c r="BO38" s="261"/>
      <c r="BP38" s="261"/>
    </row>
    <row r="39" spans="1:68" s="144" customFormat="1" ht="15.75" customHeight="1">
      <c r="A39" s="897" t="s">
        <v>201</v>
      </c>
      <c r="B39" s="897"/>
      <c r="C39" s="897"/>
      <c r="D39" s="897"/>
      <c r="E39" s="897"/>
      <c r="F39" s="897"/>
      <c r="G39" s="897"/>
      <c r="H39" s="109"/>
      <c r="I39" s="109"/>
      <c r="J39" s="109"/>
      <c r="K39" s="109"/>
      <c r="L39" s="109"/>
      <c r="M39" s="109"/>
      <c r="N39" s="914" t="s">
        <v>243</v>
      </c>
      <c r="O39" s="914"/>
      <c r="P39" s="914"/>
      <c r="Q39" s="914"/>
      <c r="R39" s="914"/>
      <c r="S39" s="109"/>
      <c r="BI39" s="261"/>
      <c r="BJ39" s="261"/>
      <c r="BK39" s="261"/>
      <c r="BL39" s="261"/>
      <c r="BM39" s="261"/>
      <c r="BN39" s="261"/>
      <c r="BO39" s="261"/>
      <c r="BP39" s="261"/>
    </row>
  </sheetData>
  <sheetProtection password="DD74" sheet="1" objects="1" scenarios="1" selectLockedCells="1"/>
  <mergeCells count="65">
    <mergeCell ref="B6:D6"/>
    <mergeCell ref="Q26:R26"/>
    <mergeCell ref="Q19:R19"/>
    <mergeCell ref="Q20:R20"/>
    <mergeCell ref="Q21:R21"/>
    <mergeCell ref="Q8:R8"/>
    <mergeCell ref="Q9:R9"/>
    <mergeCell ref="Q10:R10"/>
    <mergeCell ref="Q14:R14"/>
    <mergeCell ref="D23:P23"/>
    <mergeCell ref="Q23:R23"/>
    <mergeCell ref="E22:O22"/>
    <mergeCell ref="D15:R15"/>
    <mergeCell ref="Q22:R22"/>
    <mergeCell ref="E18:O18"/>
    <mergeCell ref="E19:O19"/>
    <mergeCell ref="E20:O20"/>
    <mergeCell ref="Q11:R11"/>
    <mergeCell ref="Q12:R12"/>
    <mergeCell ref="Q30:R30"/>
    <mergeCell ref="Q24:R24"/>
    <mergeCell ref="E26:P26"/>
    <mergeCell ref="Q27:R27"/>
    <mergeCell ref="Q28:R28"/>
    <mergeCell ref="E21:O21"/>
    <mergeCell ref="Q16:R16"/>
    <mergeCell ref="Q17:R17"/>
    <mergeCell ref="E17:O17"/>
    <mergeCell ref="E13:P13"/>
    <mergeCell ref="Q13:R13"/>
    <mergeCell ref="Q25:R25"/>
    <mergeCell ref="D32:P32"/>
    <mergeCell ref="E24:P24"/>
    <mergeCell ref="D27:P27"/>
    <mergeCell ref="E28:P28"/>
    <mergeCell ref="E30:P30"/>
    <mergeCell ref="D25:P25"/>
    <mergeCell ref="A1:S1"/>
    <mergeCell ref="E3:P3"/>
    <mergeCell ref="B3:D3"/>
    <mergeCell ref="N2:S2"/>
    <mergeCell ref="A2:G2"/>
    <mergeCell ref="D9:P9"/>
    <mergeCell ref="E10:P10"/>
    <mergeCell ref="D14:P14"/>
    <mergeCell ref="D8:P8"/>
    <mergeCell ref="E16:O16"/>
    <mergeCell ref="E11:P11"/>
    <mergeCell ref="E12:P12"/>
    <mergeCell ref="A39:G39"/>
    <mergeCell ref="E6:R6"/>
    <mergeCell ref="E5:R5"/>
    <mergeCell ref="E4:I4"/>
    <mergeCell ref="B4:D4"/>
    <mergeCell ref="B5:D5"/>
    <mergeCell ref="B31:B32"/>
    <mergeCell ref="D31:O31"/>
    <mergeCell ref="Q31:R32"/>
    <mergeCell ref="A35:B35"/>
    <mergeCell ref="A36:B36"/>
    <mergeCell ref="D35:J35"/>
    <mergeCell ref="D36:F36"/>
    <mergeCell ref="N39:R39"/>
    <mergeCell ref="Q18:R18"/>
    <mergeCell ref="B15:B22"/>
  </mergeCells>
  <printOptions horizontalCentered="1" verticalCentered="1"/>
  <pageMargins left="0.75" right="0.75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00000"/>
  </sheetPr>
  <dimension ref="A1:XFC62"/>
  <sheetViews>
    <sheetView showGridLines="0" showRowColHeaders="0" showWhiteSpace="0" view="pageBreakPreview" topLeftCell="A4" zoomScale="80" zoomScaleSheetLayoutView="80" workbookViewId="0">
      <selection activeCell="K25" sqref="K25"/>
    </sheetView>
  </sheetViews>
  <sheetFormatPr defaultColWidth="0" defaultRowHeight="15" zeroHeight="1"/>
  <cols>
    <col min="1" max="1" width="11.42578125" style="54" customWidth="1"/>
    <col min="2" max="2" width="10.85546875" style="54" customWidth="1"/>
    <col min="3" max="3" width="3.85546875" style="54" hidden="1" customWidth="1"/>
    <col min="4" max="4" width="6.7109375" style="54" customWidth="1"/>
    <col min="5" max="5" width="8.140625" style="54" customWidth="1"/>
    <col min="6" max="6" width="6.5703125" style="54" customWidth="1"/>
    <col min="7" max="7" width="6.42578125" style="54" bestFit="1" customWidth="1"/>
    <col min="8" max="8" width="7.5703125" style="54" customWidth="1"/>
    <col min="9" max="9" width="7.28515625" style="54" customWidth="1"/>
    <col min="10" max="10" width="9.140625" style="54" customWidth="1"/>
    <col min="11" max="11" width="8.140625" style="54" customWidth="1"/>
    <col min="12" max="12" width="4.5703125" style="54" customWidth="1"/>
    <col min="13" max="13" width="5.85546875" style="54" customWidth="1"/>
    <col min="14" max="14" width="4.7109375" style="54" customWidth="1"/>
    <col min="15" max="15" width="7" style="54" customWidth="1"/>
    <col min="16" max="16" width="8.28515625" style="54" customWidth="1"/>
    <col min="17" max="17" width="8.5703125" style="54" customWidth="1"/>
    <col min="18" max="18" width="6.85546875" style="54" customWidth="1"/>
    <col min="19" max="19" width="7.42578125" style="54" customWidth="1"/>
    <col min="20" max="20" width="7.42578125" style="54" hidden="1" customWidth="1"/>
    <col min="21" max="21" width="6.5703125" style="54" customWidth="1"/>
    <col min="22" max="22" width="0.7109375" style="54" customWidth="1"/>
    <col min="23" max="26" width="7.5703125" style="54" hidden="1"/>
    <col min="27" max="28" width="7.5703125" style="55" hidden="1"/>
    <col min="29" max="34" width="7.5703125" style="53" hidden="1"/>
    <col min="35" max="50" width="7.5703125" style="107" hidden="1"/>
    <col min="51" max="65" width="7.5703125" style="53" hidden="1"/>
    <col min="66" max="16383" width="7.5703125" style="54" hidden="1"/>
    <col min="16384" max="16384" width="0.85546875" style="54" hidden="1"/>
  </cols>
  <sheetData>
    <row r="1" spans="1:65" ht="20.25" customHeight="1" thickBot="1">
      <c r="A1" s="941" t="s">
        <v>482</v>
      </c>
      <c r="B1" s="941"/>
      <c r="C1" s="941"/>
      <c r="D1" s="941"/>
      <c r="E1" s="941"/>
      <c r="F1" s="941"/>
      <c r="G1" s="941"/>
      <c r="H1" s="941"/>
      <c r="I1" s="941"/>
      <c r="J1" s="941"/>
      <c r="K1" s="941"/>
      <c r="L1" s="941"/>
      <c r="M1" s="941"/>
      <c r="N1" s="941"/>
      <c r="O1" s="941"/>
      <c r="P1" s="941"/>
      <c r="Q1" s="941"/>
      <c r="R1" s="941"/>
      <c r="S1" s="941"/>
      <c r="T1" s="941"/>
      <c r="U1" s="941"/>
      <c r="V1" s="483"/>
      <c r="W1" s="1"/>
      <c r="X1" s="1"/>
      <c r="Y1" s="1"/>
      <c r="Z1" s="1"/>
      <c r="AA1" s="6"/>
      <c r="AB1" s="6"/>
      <c r="AC1" s="52"/>
      <c r="AD1" s="52"/>
      <c r="AE1" s="52"/>
    </row>
    <row r="2" spans="1:65" ht="20.25" hidden="1" customHeight="1">
      <c r="A2" s="718"/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  <c r="V2" s="460"/>
      <c r="W2" s="480" t="s">
        <v>146</v>
      </c>
      <c r="X2" s="54" t="s">
        <v>205</v>
      </c>
    </row>
    <row r="3" spans="1:65" ht="20.25" customHeight="1">
      <c r="A3" s="124" t="s">
        <v>206</v>
      </c>
      <c r="B3" s="110"/>
      <c r="C3" s="288"/>
      <c r="D3" s="955" t="str">
        <f>X2 &amp; 'Fill white Cells '!E3</f>
        <v xml:space="preserve">: </v>
      </c>
      <c r="E3" s="955"/>
      <c r="F3" s="955"/>
      <c r="G3" s="955"/>
      <c r="H3" s="955"/>
      <c r="I3" s="955"/>
      <c r="J3" s="955"/>
      <c r="K3" s="955"/>
      <c r="L3" s="955"/>
      <c r="M3" s="953" t="s">
        <v>207</v>
      </c>
      <c r="N3" s="953"/>
      <c r="O3" s="953"/>
      <c r="P3" s="955" t="str">
        <f>X2 &amp; 'Fill white Cells '!E4</f>
        <v xml:space="preserve">: </v>
      </c>
      <c r="Q3" s="955"/>
      <c r="R3" s="955"/>
      <c r="S3" s="955"/>
      <c r="T3" s="955"/>
      <c r="U3" s="957"/>
      <c r="W3" s="58"/>
      <c r="X3" s="59"/>
      <c r="Y3" s="59"/>
    </row>
    <row r="4" spans="1:65" ht="20.25" customHeight="1">
      <c r="A4" s="240" t="s">
        <v>483</v>
      </c>
      <c r="B4" s="109"/>
      <c r="C4" s="56"/>
      <c r="D4" s="725" t="str">
        <f>X2 &amp; 'Fill white Cells '!E7 &amp; W2 &amp; 'Fill white Cells '!E8</f>
        <v xml:space="preserve">: . - </v>
      </c>
      <c r="E4" s="725"/>
      <c r="F4" s="725"/>
      <c r="G4" s="725"/>
      <c r="H4" s="725"/>
      <c r="I4" s="725"/>
      <c r="J4" s="725"/>
      <c r="K4" s="725"/>
      <c r="L4" s="725"/>
      <c r="O4" s="61"/>
      <c r="P4" s="62"/>
      <c r="Q4" s="62"/>
      <c r="R4" s="722"/>
      <c r="S4" s="722"/>
      <c r="T4" s="722"/>
      <c r="U4" s="723"/>
      <c r="V4" s="462"/>
      <c r="W4" s="63"/>
      <c r="X4" s="59"/>
      <c r="Y4" s="59"/>
    </row>
    <row r="5" spans="1:65" ht="20.25" customHeight="1" thickBot="1">
      <c r="A5" s="289" t="s">
        <v>210</v>
      </c>
      <c r="B5" s="291"/>
      <c r="C5" s="290"/>
      <c r="D5" s="956" t="str">
        <f>X2 &amp; 'Fill white Cells '!E9</f>
        <v xml:space="preserve">: </v>
      </c>
      <c r="E5" s="956"/>
      <c r="F5" s="956"/>
      <c r="G5" s="956"/>
      <c r="H5" s="956"/>
      <c r="I5" s="956"/>
      <c r="J5" s="956"/>
      <c r="K5" s="956"/>
      <c r="L5" s="956"/>
      <c r="M5" s="954" t="str">
        <f>IF('Fill white Cells '!E6&lt;60,"TAN NO : ", "PENSION ID : ")</f>
        <v xml:space="preserve">TAN NO : </v>
      </c>
      <c r="N5" s="954"/>
      <c r="O5" s="954"/>
      <c r="P5" s="956" t="str">
        <f>X2 &amp; 'Fill white Cells '!E2</f>
        <v xml:space="preserve">: </v>
      </c>
      <c r="Q5" s="956"/>
      <c r="R5" s="956"/>
      <c r="S5" s="956"/>
      <c r="T5" s="956"/>
      <c r="U5" s="958"/>
      <c r="W5" s="60"/>
      <c r="X5" s="59"/>
      <c r="Y5" s="59"/>
    </row>
    <row r="6" spans="1:65" ht="6" customHeight="1" thickBot="1">
      <c r="A6" s="461"/>
      <c r="B6" s="58"/>
      <c r="C6" s="461"/>
      <c r="D6" s="60"/>
      <c r="E6" s="60"/>
      <c r="F6" s="60"/>
      <c r="G6" s="60"/>
      <c r="H6" s="60"/>
      <c r="I6" s="60"/>
      <c r="J6" s="60"/>
      <c r="K6" s="60"/>
      <c r="L6" s="720"/>
      <c r="M6" s="720"/>
      <c r="N6" s="720"/>
      <c r="O6" s="720"/>
      <c r="P6" s="720"/>
      <c r="Q6" s="720"/>
      <c r="R6" s="60"/>
      <c r="S6" s="60"/>
      <c r="T6" s="60"/>
      <c r="U6" s="461"/>
      <c r="V6" s="461"/>
      <c r="W6" s="69"/>
      <c r="X6" s="69"/>
      <c r="Y6" s="69"/>
      <c r="Z6" s="69"/>
      <c r="AA6" s="70"/>
      <c r="AB6" s="70"/>
      <c r="AC6" s="71"/>
      <c r="AD6" s="71"/>
      <c r="AE6" s="71"/>
      <c r="AF6" s="71"/>
    </row>
    <row r="7" spans="1:65" s="73" customFormat="1" ht="20.25" customHeight="1">
      <c r="A7" s="942" t="s">
        <v>212</v>
      </c>
      <c r="B7" s="944" t="s">
        <v>81</v>
      </c>
      <c r="C7" s="945"/>
      <c r="D7" s="946"/>
      <c r="E7" s="944" t="s">
        <v>213</v>
      </c>
      <c r="F7" s="945"/>
      <c r="G7" s="945"/>
      <c r="H7" s="945"/>
      <c r="I7" s="946"/>
      <c r="J7" s="947" t="s">
        <v>214</v>
      </c>
      <c r="K7" s="949" t="s">
        <v>215</v>
      </c>
      <c r="L7" s="950"/>
      <c r="M7" s="950"/>
      <c r="N7" s="950"/>
      <c r="O7" s="950"/>
      <c r="P7" s="950"/>
      <c r="Q7" s="950"/>
      <c r="R7" s="950"/>
      <c r="S7" s="951"/>
      <c r="T7" s="204"/>
      <c r="U7" s="952" t="s">
        <v>216</v>
      </c>
      <c r="V7" s="125"/>
      <c r="W7" s="69"/>
      <c r="X7" s="69"/>
      <c r="Y7" s="69"/>
      <c r="Z7" s="69"/>
      <c r="AA7" s="70"/>
      <c r="AB7" s="70"/>
      <c r="AC7" s="71"/>
      <c r="AD7" s="71"/>
      <c r="AE7" s="71"/>
      <c r="AF7" s="71"/>
      <c r="AG7" s="72"/>
      <c r="AH7" s="72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</row>
    <row r="8" spans="1:65" s="73" customFormat="1" ht="20.25" customHeight="1">
      <c r="A8" s="943"/>
      <c r="B8" s="463" t="s">
        <v>484</v>
      </c>
      <c r="C8" s="463"/>
      <c r="D8" s="463" t="s">
        <v>219</v>
      </c>
      <c r="E8" s="463" t="s">
        <v>220</v>
      </c>
      <c r="F8" s="463" t="s">
        <v>85</v>
      </c>
      <c r="G8" s="463" t="s">
        <v>86</v>
      </c>
      <c r="H8" s="463" t="s">
        <v>221</v>
      </c>
      <c r="I8" s="463" t="s">
        <v>222</v>
      </c>
      <c r="J8" s="948"/>
      <c r="K8" s="463" t="str">
        <f>IF('Fill white Cells '!E11=1, "CPS", "GPF")</f>
        <v>GPF</v>
      </c>
      <c r="L8" s="463" t="s">
        <v>51</v>
      </c>
      <c r="M8" s="463" t="s">
        <v>485</v>
      </c>
      <c r="N8" s="463" t="s">
        <v>52</v>
      </c>
      <c r="O8" s="463" t="s">
        <v>224</v>
      </c>
      <c r="P8" s="463" t="s">
        <v>225</v>
      </c>
      <c r="Q8" s="463" t="s">
        <v>226</v>
      </c>
      <c r="R8" s="463" t="s">
        <v>227</v>
      </c>
      <c r="S8" s="463" t="s">
        <v>228</v>
      </c>
      <c r="T8" s="203"/>
      <c r="U8" s="732"/>
      <c r="V8" s="125"/>
      <c r="W8" s="74"/>
      <c r="X8" s="281" t="s">
        <v>486</v>
      </c>
      <c r="Y8" s="281" t="s">
        <v>487</v>
      </c>
      <c r="Z8" s="281" t="s">
        <v>229</v>
      </c>
      <c r="AA8" s="75"/>
      <c r="AB8" s="76"/>
      <c r="AC8" s="72"/>
      <c r="AD8" s="72"/>
      <c r="AE8" s="72"/>
      <c r="AF8" s="72"/>
      <c r="AG8" s="72"/>
      <c r="AH8" s="72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>
        <f>Q9+Q10+Q11+Q12+Q13+Q15+Q14+Q16+Q17+Q18+Q19+Q26+Q27+Q28+Q29</f>
        <v>0</v>
      </c>
      <c r="BL8" s="72">
        <f>R9+R10+R11+R12+R13+R15+R14+R16+R17+R18+R19+R26+R27+R28+R29</f>
        <v>0</v>
      </c>
      <c r="BM8" s="72"/>
    </row>
    <row r="9" spans="1:65" s="81" customFormat="1" ht="20.25" customHeight="1">
      <c r="A9" s="282">
        <v>45352</v>
      </c>
      <c r="B9" s="15">
        <f>'Fill white Cells '!C23</f>
        <v>0</v>
      </c>
      <c r="C9" s="15"/>
      <c r="D9" s="15">
        <f>'Fill white Cells '!D23+'Fill white Cells '!G23</f>
        <v>0</v>
      </c>
      <c r="E9" s="15">
        <f>(ROUND((B9+C9)*('Fill white Cells '!C27/100),0))</f>
        <v>0</v>
      </c>
      <c r="F9" s="15">
        <f>'Fill white Cells '!E23</f>
        <v>0</v>
      </c>
      <c r="G9" s="15">
        <f>'Fill white Cells '!F23</f>
        <v>0</v>
      </c>
      <c r="H9" s="15">
        <f>'Fill white Cells '!$H$23</f>
        <v>0</v>
      </c>
      <c r="I9" s="15">
        <f>'Fill white Cells '!$I$23</f>
        <v>0</v>
      </c>
      <c r="J9" s="166">
        <f>SUM(B9:I9)</f>
        <v>0</v>
      </c>
      <c r="K9" s="15">
        <f>(IF('Fill white Cells '!$E$11=1,ROUND((B9+C9+E9)*10%,0)+'Fill white Cells '!C29,'Fill white Cells '!C29))</f>
        <v>0</v>
      </c>
      <c r="L9" s="15">
        <f>'Fill white Cells '!K23</f>
        <v>0</v>
      </c>
      <c r="M9" s="15">
        <f>'Fill white Cells '!J23</f>
        <v>0</v>
      </c>
      <c r="N9" s="15">
        <f>'Fill white Cells '!L23</f>
        <v>0</v>
      </c>
      <c r="O9" s="15">
        <f>'Fill white Cells '!$M$23</f>
        <v>0</v>
      </c>
      <c r="P9" s="15">
        <f>'Fill white Cells '!$N$23</f>
        <v>0</v>
      </c>
      <c r="Q9" s="15">
        <f>IF('Fill white Cells '!C31&gt;=0,'Fill white Cells '!C31,IF(ROUND('NEW front'!Q27/12,0)&lt;0,0,ROUND('NEW front'!Q27/12,0)))</f>
        <v>0</v>
      </c>
      <c r="R9" s="15">
        <f>ROUND((Q9*4/100),0)</f>
        <v>0</v>
      </c>
      <c r="S9" s="169">
        <f>SUM(K9:R9)</f>
        <v>0</v>
      </c>
      <c r="T9" s="169">
        <f>SUM(K9:R9)</f>
        <v>0</v>
      </c>
      <c r="U9" s="170"/>
      <c r="V9" s="126"/>
      <c r="W9" s="59"/>
      <c r="X9" s="91"/>
      <c r="Y9" s="91"/>
      <c r="Z9" s="91">
        <f t="shared" ref="Z9:Z20" si="0">J9-S9-X9-Y9</f>
        <v>0</v>
      </c>
      <c r="AA9" s="78"/>
      <c r="AB9" s="78"/>
      <c r="AC9" s="79"/>
      <c r="AD9" s="79"/>
      <c r="AE9" s="79"/>
      <c r="AF9" s="79"/>
      <c r="AG9" s="80"/>
      <c r="AH9" s="80"/>
      <c r="AI9" s="101" t="str">
        <f>IF(AND(AA9&gt;10600,AA9&lt;11899),"640",IF(AND(AA9&gt;11900,AA9&lt;13769),"760",IF(AND(AA9&gt;13770,AA9&lt;14509),"880",IF(AND(AA9&gt;14510,AA9&lt;15999),"1000",IF(AND(AA9&gt;16000,AA9&lt;17299),"1120",IF(AND(AA9&gt;17300,AA9&lt;19529),"1240",IF(AND(AA9&gt;19530,AA9&lt;20089),"1360",IF(AA9&gt;20089,"1400","0"))))))))</f>
        <v>0</v>
      </c>
      <c r="AJ9" s="269" t="s">
        <v>28</v>
      </c>
      <c r="AK9" s="269"/>
      <c r="AL9" s="269"/>
      <c r="AM9" s="270"/>
      <c r="AN9" s="270" t="s">
        <v>37</v>
      </c>
      <c r="AO9" s="270" t="s">
        <v>39</v>
      </c>
      <c r="AP9" s="101"/>
      <c r="AQ9" s="101">
        <f>E9</f>
        <v>0</v>
      </c>
      <c r="AR9" s="101">
        <f>(ROUND((B9+C9+D9)*1.25,0))</f>
        <v>0</v>
      </c>
      <c r="AS9" s="101">
        <f>AR9-AQ9</f>
        <v>0</v>
      </c>
      <c r="AT9" s="101">
        <f>AS9*3</f>
        <v>0</v>
      </c>
      <c r="AU9" s="101"/>
      <c r="AV9" s="101"/>
      <c r="AW9" s="101"/>
      <c r="AX9" s="101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</row>
    <row r="10" spans="1:65" s="81" customFormat="1" ht="20.25" customHeight="1">
      <c r="A10" s="282">
        <v>45383</v>
      </c>
      <c r="B10" s="15">
        <f>IF(AC13=4,AD19,B9)</f>
        <v>0</v>
      </c>
      <c r="C10" s="15"/>
      <c r="D10" s="15">
        <f>D9</f>
        <v>0</v>
      </c>
      <c r="E10" s="15">
        <f>(ROUND((B10+C10)*('Fill white Cells '!D27/100),0))</f>
        <v>0</v>
      </c>
      <c r="F10" s="15">
        <f>IF(B10&lt;=AK10,AL10, IF(B10&lt;=AK11,AL11, IF(B10&lt;=AK12,AL12, IF(B10&lt;=AK13,AL13, IF(B10&lt;=AK14,AL14, IF(B10&lt;=AK15,AL15, IF(B10&lt;=AK16,AL16, IF(B10&lt;=AK17,AL17, IF(B10&lt;=AK18,AL18, IF(B10&lt;=AK19,AL19, IF(B10&lt;=AK20,AL20, IF(B10&lt;=AK21,AL21, IF(B10&lt;=AK22,AL22, IF(B10&lt;=AK23,AL23, IF(B10&lt;=AK24,AL24, IF(B10&lt;=AK25,AL25, IF(B10&gt;=AK26,AL26, 0)))))))))))))))))</f>
        <v>0</v>
      </c>
      <c r="G10" s="15">
        <f>G9</f>
        <v>0</v>
      </c>
      <c r="H10" s="15">
        <f>H9</f>
        <v>0</v>
      </c>
      <c r="I10" s="15">
        <f>I9</f>
        <v>0</v>
      </c>
      <c r="J10" s="166">
        <f t="shared" ref="J10:J20" si="1">SUM(B10:I10)</f>
        <v>0</v>
      </c>
      <c r="K10" s="15">
        <f>IF('Fill white Cells '!$E$11=1,ROUND((B10+C10+E10)*10%,0)+'Fill white Cells '!D29,'Fill white Cells '!D29)</f>
        <v>0</v>
      </c>
      <c r="L10" s="15">
        <f>$L$9</f>
        <v>0</v>
      </c>
      <c r="M10" s="15">
        <f>M9</f>
        <v>0</v>
      </c>
      <c r="N10" s="15">
        <f>$N$9</f>
        <v>0</v>
      </c>
      <c r="O10" s="15">
        <f>'Fill white Cells '!$M$23</f>
        <v>0</v>
      </c>
      <c r="P10" s="15">
        <f>'Fill white Cells '!$N$23</f>
        <v>0</v>
      </c>
      <c r="Q10" s="15">
        <f>IF('Fill white Cells '!D31&gt;0,'Fill white Cells '!D31,IF(ROUND(('NEW front'!Q27-(Q9+Q26+Q27+Q28+Q29))/11,0)&lt;0,0,ROUND(('NEW front'!Q27-(Q9+Q26+Q27+Q28+Q29))/11,0)))</f>
        <v>0</v>
      </c>
      <c r="R10" s="15">
        <f t="shared" ref="R10:R20" si="2">ROUND((Q10*4/100),0)</f>
        <v>0</v>
      </c>
      <c r="S10" s="169">
        <f t="shared" ref="S10:S19" si="3">SUM(K10:R10)</f>
        <v>0</v>
      </c>
      <c r="T10" s="169">
        <f t="shared" ref="T10:T26" si="4">SUM(K10:R10)</f>
        <v>0</v>
      </c>
      <c r="U10" s="170"/>
      <c r="V10" s="126"/>
      <c r="W10" s="59"/>
      <c r="X10" s="91"/>
      <c r="Y10" s="91"/>
      <c r="Z10" s="91">
        <f t="shared" si="0"/>
        <v>0</v>
      </c>
      <c r="AA10" s="78"/>
      <c r="AB10" s="82"/>
      <c r="AC10" s="80"/>
      <c r="AD10" s="80"/>
      <c r="AE10" s="80"/>
      <c r="AF10" s="80"/>
      <c r="AG10" s="80"/>
      <c r="AH10" s="80"/>
      <c r="AI10" s="101" t="str">
        <f t="shared" ref="AI10:AI21" si="5">IF(AND(AA10&gt;10600,AA10&lt;11899),"640",IF(AND(AA10&gt;11900,AA10&lt;13769),"760",IF(AND(AA10&gt;13770,AA10&lt;14509),"880",IF(AND(AA10&gt;14510,AA10&lt;15999),"1000",IF(AND(AA10&gt;16000,AA10&lt;17299),"1120",IF(AND(AA10&gt;17300,AA10&lt;19529),"1240",IF(AND(AA10&gt;19530,AA10&lt;20089),"1360",IF(AA10&gt;20089,"1400","0"))))))))</f>
        <v>0</v>
      </c>
      <c r="AJ10" s="271">
        <v>13600</v>
      </c>
      <c r="AK10" s="12">
        <v>13600</v>
      </c>
      <c r="AL10" s="12">
        <f>'Fill white Cells '!AE52</f>
        <v>0</v>
      </c>
      <c r="AM10" s="271">
        <f>IF('Fill white Cells '!E12=AN9,AN10, AO10)</f>
        <v>250</v>
      </c>
      <c r="AN10" s="271">
        <v>400</v>
      </c>
      <c r="AO10" s="271">
        <v>250</v>
      </c>
      <c r="AP10" s="101"/>
      <c r="AQ10" s="101">
        <f>E10</f>
        <v>0</v>
      </c>
      <c r="AR10" s="101">
        <f>(ROUND((B10+C10+D10)*1.25,0))</f>
        <v>0</v>
      </c>
      <c r="AS10" s="101">
        <f>AR10-AQ10</f>
        <v>0</v>
      </c>
      <c r="AT10" s="101">
        <f>AS10</f>
        <v>0</v>
      </c>
      <c r="AU10" s="101"/>
      <c r="AV10" s="101"/>
      <c r="AW10" s="101"/>
      <c r="AX10" s="101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</row>
    <row r="11" spans="1:65" s="81" customFormat="1" ht="20.25" customHeight="1">
      <c r="A11" s="282">
        <v>45413</v>
      </c>
      <c r="B11" s="15">
        <f>B10</f>
        <v>0</v>
      </c>
      <c r="C11" s="15"/>
      <c r="D11" s="15">
        <f t="shared" ref="D11:D19" si="6">D10</f>
        <v>0</v>
      </c>
      <c r="E11" s="15">
        <f>(ROUND((B11+C11)*('Fill white Cells '!E27/100),0))</f>
        <v>0</v>
      </c>
      <c r="F11" s="15">
        <f>IF(B11&lt;=AK10,AL10, IF(B11&lt;=AK11,AL11, IF(B11&lt;=AK12,AL12, IF(B11&lt;=AK13,AL13, IF(B11&lt;=AK14,AL14, IF(B11&lt;=AK15,AL15, IF(B11&lt;=AK16,AL16, IF(B11&lt;=AK17,AL17, IF(B11&lt;=AK18,AL18, IF(B11&lt;=AK19,AL19, IF(B11&lt;=AK20,AL20, IF(B11&lt;=AK21,AL21, IF(B11&lt;=AK22,AL22, IF(B11&lt;=AK23,AL23, IF(B11&lt;=AK24,AL24, IF(B11&lt;=AK25,AL25, IF(B11&gt;=AK26,AL26, 0)))))))))))))))))</f>
        <v>0</v>
      </c>
      <c r="G11" s="15">
        <f t="shared" ref="G11:I19" si="7">G10</f>
        <v>0</v>
      </c>
      <c r="H11" s="15">
        <f t="shared" si="7"/>
        <v>0</v>
      </c>
      <c r="I11" s="15">
        <f t="shared" si="7"/>
        <v>0</v>
      </c>
      <c r="J11" s="166">
        <f t="shared" si="1"/>
        <v>0</v>
      </c>
      <c r="K11" s="15">
        <f>IF('Fill white Cells '!$E$11=1,ROUND((B11+C11+E11)*10%,0)+'Fill white Cells '!E29, 'Fill white Cells '!E29)</f>
        <v>0</v>
      </c>
      <c r="L11" s="15">
        <f t="shared" ref="L11:L14" si="8">$L$9</f>
        <v>0</v>
      </c>
      <c r="M11" s="15">
        <f t="shared" ref="M11:M19" si="9">M10</f>
        <v>0</v>
      </c>
      <c r="N11" s="15">
        <f t="shared" ref="N11:N20" si="10">$N$9</f>
        <v>0</v>
      </c>
      <c r="O11" s="15">
        <f>'Fill white Cells '!$M$23</f>
        <v>0</v>
      </c>
      <c r="P11" s="15">
        <f>'Fill white Cells '!$N$23</f>
        <v>0</v>
      </c>
      <c r="Q11" s="15">
        <f>IF('Fill white Cells '!E31&gt;0,'Fill white Cells '!E31,IF(ROUND(('NEW front'!Q27-(Q9+Q10+Q26+Q27+Q28+Q29))/10,0)&lt;0,0,ROUND(('NEW front'!Q27-(Q9+Q10+Q26+Q27+Q28+Q29))/10,0)))</f>
        <v>0</v>
      </c>
      <c r="R11" s="15">
        <f t="shared" si="2"/>
        <v>0</v>
      </c>
      <c r="S11" s="169">
        <f t="shared" si="3"/>
        <v>0</v>
      </c>
      <c r="T11" s="169">
        <f t="shared" si="4"/>
        <v>0</v>
      </c>
      <c r="U11" s="170"/>
      <c r="V11" s="126"/>
      <c r="W11" s="59"/>
      <c r="X11" s="91"/>
      <c r="Y11" s="91"/>
      <c r="Z11" s="91">
        <f t="shared" si="0"/>
        <v>0</v>
      </c>
      <c r="AA11" s="78"/>
      <c r="AB11" s="82"/>
      <c r="AC11" s="80"/>
      <c r="AD11" s="80"/>
      <c r="AE11" s="80"/>
      <c r="AF11" s="80"/>
      <c r="AG11" s="80"/>
      <c r="AH11" s="80"/>
      <c r="AI11" s="101" t="str">
        <f t="shared" si="5"/>
        <v>0</v>
      </c>
      <c r="AJ11" s="271">
        <v>17200</v>
      </c>
      <c r="AK11" s="12">
        <v>17200</v>
      </c>
      <c r="AL11" s="12">
        <f>'Fill white Cells '!AE53</f>
        <v>0</v>
      </c>
      <c r="AM11" s="271">
        <f>IF(AM10=AN10,AN11, AO11)</f>
        <v>300</v>
      </c>
      <c r="AN11" s="271">
        <v>450</v>
      </c>
      <c r="AO11" s="271">
        <v>300</v>
      </c>
      <c r="AP11" s="101"/>
      <c r="AQ11" s="101"/>
      <c r="AR11" s="101"/>
      <c r="AS11" s="101"/>
      <c r="AT11" s="101">
        <f>AT9+AT10</f>
        <v>0</v>
      </c>
      <c r="AU11" s="101"/>
      <c r="AV11" s="101"/>
      <c r="AW11" s="101"/>
      <c r="AX11" s="101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</row>
    <row r="12" spans="1:65" s="81" customFormat="1" ht="20.25" customHeight="1">
      <c r="A12" s="282">
        <v>45444</v>
      </c>
      <c r="B12" s="15">
        <f>B11</f>
        <v>0</v>
      </c>
      <c r="C12" s="15"/>
      <c r="D12" s="15">
        <f t="shared" si="6"/>
        <v>0</v>
      </c>
      <c r="E12" s="15">
        <f>(ROUND((B12+C12)*('Fill white Cells '!F27/100),0))</f>
        <v>0</v>
      </c>
      <c r="F12" s="15">
        <f>IF(B12&lt;=AK10,AL10, IF(B12&lt;=AK11,AL11, IF(B12&lt;=AK12,AL12, IF(B12&lt;=AK13,AL13, IF(B12&lt;=AK14,AL14, IF(B12&lt;=AK15,AL15, IF(B12&lt;=AK16,AL16, IF(B12&lt;=AK17,AL17, IF(B12&lt;=AK18,AL18, IF(B12&lt;=AK19,AL19, IF(B12&lt;=AK20,AL20, IF(B12&lt;=AK21,AL21, IF(B12&lt;=AK22,AL22, IF(B12&lt;=AK23,AL23, IF(B12&lt;=AK24,AL24, IF(B12&lt;=AK25,AL25, IF(B12&gt;=AK26,AL26, 0)))))))))))))))))</f>
        <v>0</v>
      </c>
      <c r="G12" s="15">
        <f t="shared" si="7"/>
        <v>0</v>
      </c>
      <c r="H12" s="15">
        <f t="shared" si="7"/>
        <v>0</v>
      </c>
      <c r="I12" s="15">
        <f t="shared" si="7"/>
        <v>0</v>
      </c>
      <c r="J12" s="166">
        <f t="shared" si="1"/>
        <v>0</v>
      </c>
      <c r="K12" s="15">
        <f>(IF('Fill white Cells '!$E$11=1,ROUND((B12+C12+E12)*10%,0)+'Fill white Cells '!F29,'Fill white Cells '!F29))</f>
        <v>0</v>
      </c>
      <c r="L12" s="15">
        <f t="shared" si="8"/>
        <v>0</v>
      </c>
      <c r="M12" s="15">
        <f t="shared" si="9"/>
        <v>0</v>
      </c>
      <c r="N12" s="15">
        <f t="shared" si="10"/>
        <v>0</v>
      </c>
      <c r="O12" s="15">
        <f>'Fill white Cells '!$M$23</f>
        <v>0</v>
      </c>
      <c r="P12" s="15">
        <f>'Fill white Cells '!$N$23</f>
        <v>0</v>
      </c>
      <c r="Q12" s="15">
        <f>IF('Fill white Cells '!F31&gt;0,'Fill white Cells '!F31,IF(ROUND(('NEW front'!Q27-(Q9+Q10+Q11+Q26+Q27+Q28+Q29))/9,0)&lt;0,0,ROUND(('NEW front'!Q27-(Q9+Q10+Q11+Q26+Q27+Q28+Q29))/9,0)))</f>
        <v>0</v>
      </c>
      <c r="R12" s="15">
        <f t="shared" si="2"/>
        <v>0</v>
      </c>
      <c r="S12" s="169">
        <f t="shared" si="3"/>
        <v>0</v>
      </c>
      <c r="T12" s="169">
        <f t="shared" si="4"/>
        <v>0</v>
      </c>
      <c r="U12" s="170"/>
      <c r="V12" s="126"/>
      <c r="W12" s="59"/>
      <c r="X12" s="91"/>
      <c r="Y12" s="91"/>
      <c r="Z12" s="91">
        <f t="shared" si="0"/>
        <v>0</v>
      </c>
      <c r="AA12" s="78"/>
      <c r="AB12" s="82"/>
      <c r="AC12" s="80"/>
      <c r="AD12" s="80"/>
      <c r="AE12" s="80"/>
      <c r="AF12" s="80"/>
      <c r="AG12" s="80"/>
      <c r="AH12" s="80"/>
      <c r="AI12" s="101" t="str">
        <f t="shared" si="5"/>
        <v>0</v>
      </c>
      <c r="AJ12" s="271">
        <v>21000</v>
      </c>
      <c r="AK12" s="12">
        <v>21000</v>
      </c>
      <c r="AL12" s="12">
        <f>'Fill white Cells '!AE54</f>
        <v>0</v>
      </c>
      <c r="AM12" s="271">
        <f t="shared" ref="AM12:AM25" si="11">IF(AM11=AN11,AN12, AO12)</f>
        <v>350</v>
      </c>
      <c r="AN12" s="271">
        <v>500</v>
      </c>
      <c r="AO12" s="271">
        <v>350</v>
      </c>
      <c r="AP12" s="101"/>
      <c r="AQ12" s="101"/>
      <c r="AR12" s="101"/>
      <c r="AS12" s="101"/>
      <c r="AT12" s="101">
        <v>1229</v>
      </c>
      <c r="AU12" s="101"/>
      <c r="AV12" s="101"/>
      <c r="AW12" s="101"/>
      <c r="AX12" s="101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</row>
    <row r="13" spans="1:65" s="81" customFormat="1" ht="20.25" customHeight="1">
      <c r="A13" s="282">
        <v>45474</v>
      </c>
      <c r="B13" s="15">
        <f>IF(AC13=7,AD19,B12)</f>
        <v>0</v>
      </c>
      <c r="C13" s="15"/>
      <c r="D13" s="15">
        <f t="shared" si="6"/>
        <v>0</v>
      </c>
      <c r="E13" s="15">
        <f>(ROUND((B13+C13)*('Fill white Cells '!G27/100),0))</f>
        <v>0</v>
      </c>
      <c r="F13" s="15">
        <f>IF(B13&lt;=AK10,AL10, IF(B13&lt;=AK11,AL11, IF(B13&lt;=AK12,AL12, IF(B13&lt;=AK13,AL13, IF(B13&lt;=AK14,AL14, IF(B13&lt;=AK15,AL15, IF(B13&lt;=AK16,AL16, IF(B13&lt;=AK17,AL17, IF(B13&lt;=AK18,AL18, IF(B13&lt;=AK19,AL19, IF(B13&lt;=AK20,AL20, IF(B13&lt;=AK21,AL21, IF(B13&lt;=AK22,AL22, IF(B13&lt;=AK23,AL23, IF(B13&lt;=AK24,AL24, IF(B13&lt;=AK25,AL25, IF(B13&gt;=AK26,AL26, 0)))))))))))))))))</f>
        <v>0</v>
      </c>
      <c r="G13" s="15">
        <f t="shared" si="7"/>
        <v>0</v>
      </c>
      <c r="H13" s="15">
        <f t="shared" si="7"/>
        <v>0</v>
      </c>
      <c r="I13" s="15">
        <f t="shared" si="7"/>
        <v>0</v>
      </c>
      <c r="J13" s="166">
        <f t="shared" si="1"/>
        <v>0</v>
      </c>
      <c r="K13" s="15">
        <f>(IF('Fill white Cells '!$E$11=1,ROUND((B13+C13+E13)*10%,0)+'Fill white Cells '!G29,'Fill white Cells '!G29))</f>
        <v>0</v>
      </c>
      <c r="L13" s="15">
        <f t="shared" si="8"/>
        <v>0</v>
      </c>
      <c r="M13" s="15">
        <f>IF(M9=180, 300, M9)</f>
        <v>0</v>
      </c>
      <c r="N13" s="15">
        <f t="shared" si="10"/>
        <v>0</v>
      </c>
      <c r="O13" s="15">
        <f>'Fill white Cells '!$M$23</f>
        <v>0</v>
      </c>
      <c r="P13" s="15">
        <f>'Fill white Cells '!$N$23</f>
        <v>0</v>
      </c>
      <c r="Q13" s="15">
        <f>IF('Fill white Cells '!G31&gt;0,'Fill white Cells '!G31,IF(ROUND(('NEW front'!Q27-(Q9+Q10+Q11+Q12+Q26+Q27+Q28+Q29))/8,0)&lt;0,0,ROUND(('NEW front'!Q27-(Q9+Q10+Q11+Q12+Q26+Q27+Q28+Q29))/8,0)))</f>
        <v>0</v>
      </c>
      <c r="R13" s="15">
        <f t="shared" si="2"/>
        <v>0</v>
      </c>
      <c r="S13" s="169">
        <f t="shared" si="3"/>
        <v>0</v>
      </c>
      <c r="T13" s="169">
        <f t="shared" si="4"/>
        <v>0</v>
      </c>
      <c r="U13" s="170"/>
      <c r="V13" s="126"/>
      <c r="W13" s="59"/>
      <c r="X13" s="91"/>
      <c r="Y13" s="91"/>
      <c r="Z13" s="91">
        <f t="shared" si="0"/>
        <v>0</v>
      </c>
      <c r="AA13" s="78"/>
      <c r="AB13" s="78"/>
      <c r="AC13" s="80">
        <f>'Fill white Cells '!E10</f>
        <v>0</v>
      </c>
      <c r="AD13" s="80"/>
      <c r="AE13" s="83">
        <v>0.06</v>
      </c>
      <c r="AF13" s="80"/>
      <c r="AG13" s="80"/>
      <c r="AH13" s="80"/>
      <c r="AI13" s="101" t="str">
        <f t="shared" si="5"/>
        <v>0</v>
      </c>
      <c r="AJ13" s="271">
        <v>23900</v>
      </c>
      <c r="AK13" s="12">
        <v>23900</v>
      </c>
      <c r="AL13" s="12">
        <f>'Fill white Cells '!AE55</f>
        <v>0</v>
      </c>
      <c r="AM13" s="271">
        <f t="shared" si="11"/>
        <v>400</v>
      </c>
      <c r="AN13" s="271">
        <v>700</v>
      </c>
      <c r="AO13" s="271">
        <v>400</v>
      </c>
      <c r="AP13" s="101"/>
      <c r="AQ13" s="101">
        <f>E13</f>
        <v>0</v>
      </c>
      <c r="AR13" s="101">
        <f>(ROUND((B13+C13+D13)*1.32,0))</f>
        <v>0</v>
      </c>
      <c r="AS13" s="101">
        <f>AR13-AQ13</f>
        <v>0</v>
      </c>
      <c r="AT13" s="101"/>
      <c r="AU13" s="101"/>
      <c r="AV13" s="101"/>
      <c r="AW13" s="101"/>
      <c r="AX13" s="101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</row>
    <row r="14" spans="1:65" s="81" customFormat="1" ht="20.25" customHeight="1">
      <c r="A14" s="282">
        <v>45505</v>
      </c>
      <c r="B14" s="15">
        <f>B13</f>
        <v>0</v>
      </c>
      <c r="C14" s="15"/>
      <c r="D14" s="15">
        <f t="shared" si="6"/>
        <v>0</v>
      </c>
      <c r="E14" s="15">
        <f>(ROUND((B14+C14)*('Fill white Cells '!H27/100),0))</f>
        <v>0</v>
      </c>
      <c r="F14" s="15">
        <f>IF(B14&lt;=AK10,AL10, IF(B14&lt;=AK11,AL11, IF(B14&lt;=AK12,AL12, IF(B14&lt;=AK13,AL13, IF(B14&lt;=AK14,AL14, IF(B14&lt;=AK15,AL15, IF(B14&lt;=AK16,AL16, IF(B14&lt;=AK17,AL17, IF(B14&lt;=AK18,AL18, IF(B14&lt;=AK19,AL19, IF(B14&lt;=AK20,AL20, IF(B14&lt;=AK21,AL21, IF(B14&lt;=AK22,AL22, IF(B14&lt;=AK23,AL23, IF(B14&lt;=AK24,AL24, IF(B14&lt;=AK25,AL25, IF(B14&gt;=AK26,AL26, 0)))))))))))))))))</f>
        <v>0</v>
      </c>
      <c r="G14" s="15">
        <f t="shared" si="7"/>
        <v>0</v>
      </c>
      <c r="H14" s="15">
        <f t="shared" si="7"/>
        <v>0</v>
      </c>
      <c r="I14" s="15">
        <f t="shared" si="7"/>
        <v>0</v>
      </c>
      <c r="J14" s="166">
        <f t="shared" si="1"/>
        <v>0</v>
      </c>
      <c r="K14" s="15">
        <f>(IF('Fill white Cells '!$E$11=1,ROUND((B14+C14+E14)*10%,0)+'Fill white Cells '!H29,'Fill white Cells '!H29))</f>
        <v>0</v>
      </c>
      <c r="L14" s="15">
        <f t="shared" si="8"/>
        <v>0</v>
      </c>
      <c r="M14" s="15">
        <f t="shared" si="9"/>
        <v>0</v>
      </c>
      <c r="N14" s="15">
        <f t="shared" si="10"/>
        <v>0</v>
      </c>
      <c r="O14" s="15">
        <f>'Fill white Cells '!$M$23</f>
        <v>0</v>
      </c>
      <c r="P14" s="15">
        <f>'Fill white Cells '!$N$23</f>
        <v>0</v>
      </c>
      <c r="Q14" s="15">
        <f>IF('Fill white Cells '!H31&gt;0,'Fill white Cells '!H31,IF(ROUND(('NEW front'!Q27-(Q9+Q10+Q11+Q12+Q13+Q26+Q27+Q28+Q29))/7,0)&lt;0,0,ROUND(('NEW front'!Q27-(Q9+Q10+Q11+Q12+Q13+Q26+Q27+Q28+Q29))/7,0)))</f>
        <v>0</v>
      </c>
      <c r="R14" s="15">
        <f t="shared" si="2"/>
        <v>0</v>
      </c>
      <c r="S14" s="169">
        <f t="shared" si="3"/>
        <v>0</v>
      </c>
      <c r="T14" s="169">
        <f t="shared" si="4"/>
        <v>0</v>
      </c>
      <c r="U14" s="170">
        <f>'Fill white Cells '!M35</f>
        <v>0</v>
      </c>
      <c r="V14" s="126"/>
      <c r="W14" s="59"/>
      <c r="X14" s="91"/>
      <c r="Y14" s="91"/>
      <c r="Z14" s="91">
        <f t="shared" si="0"/>
        <v>0</v>
      </c>
      <c r="AA14" s="78"/>
      <c r="AB14" s="82"/>
      <c r="AC14" s="80">
        <f>IF(AC13=1,((B15+C15)*3/100+B14),)</f>
        <v>0</v>
      </c>
      <c r="AD14" s="80">
        <f>IF(AD13=1,((C15+D15)*3/100+C14),)</f>
        <v>0</v>
      </c>
      <c r="AE14" s="80"/>
      <c r="AF14" s="80"/>
      <c r="AG14" s="80"/>
      <c r="AH14" s="80"/>
      <c r="AI14" s="101" t="str">
        <f t="shared" si="5"/>
        <v>0</v>
      </c>
      <c r="AJ14" s="271">
        <v>27200</v>
      </c>
      <c r="AK14" s="12">
        <v>27200</v>
      </c>
      <c r="AL14" s="12">
        <f>'Fill white Cells '!AE56</f>
        <v>0</v>
      </c>
      <c r="AM14" s="271">
        <f t="shared" si="11"/>
        <v>400</v>
      </c>
      <c r="AN14" s="271">
        <v>800</v>
      </c>
      <c r="AO14" s="271">
        <v>400</v>
      </c>
      <c r="AP14" s="101">
        <v>1220</v>
      </c>
      <c r="AQ14" s="101">
        <f>E14</f>
        <v>0</v>
      </c>
      <c r="AR14" s="101">
        <f>(ROUND((B14+C14+D14)*1.32,0))</f>
        <v>0</v>
      </c>
      <c r="AS14" s="101">
        <f>AR14-AQ14</f>
        <v>0</v>
      </c>
      <c r="AT14" s="101"/>
      <c r="AU14" s="101"/>
      <c r="AV14" s="101"/>
      <c r="AW14" s="101"/>
      <c r="AX14" s="101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</row>
    <row r="15" spans="1:65" s="81" customFormat="1" ht="20.25" customHeight="1">
      <c r="A15" s="282">
        <v>45536</v>
      </c>
      <c r="B15" s="15">
        <f>B14</f>
        <v>0</v>
      </c>
      <c r="C15" s="15"/>
      <c r="D15" s="15">
        <f t="shared" si="6"/>
        <v>0</v>
      </c>
      <c r="E15" s="15">
        <f>(ROUND((B15+C15)*('Fill white Cells '!I27/100),0))</f>
        <v>0</v>
      </c>
      <c r="F15" s="15">
        <f>IF(B15&lt;=AK10,AL10, IF(B15&lt;=AK11,AL11, IF(B15&lt;=AK12,AL12, IF(B15&lt;=AK13,AL13, IF(B15&lt;=AK14,AL14, IF(B15&lt;=AK15,AL15, IF(B15&lt;=AK16,AL16, IF(B15&lt;=AK17,AL17, IF(B15&lt;=AK18,AL18, IF(B15&lt;=AK19,AL19, IF(B15&lt;=AK20,AL20, IF(B15&lt;=AK21,AL21, IF(B15&lt;=AK22,AL22, IF(B15&lt;=AK23,AL23, IF(B15&lt;=AK24,AL24, IF(B15&lt;=AK25,AL25, IF(B15&gt;=AK26,AL26, 0)))))))))))))))))</f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66">
        <f t="shared" si="1"/>
        <v>0</v>
      </c>
      <c r="K15" s="15">
        <f>(IF('Fill white Cells '!$E$11=1,ROUND((B15+C15+E15)*10%,0)+'Fill white Cells '!I29,'Fill white Cells '!I29))</f>
        <v>0</v>
      </c>
      <c r="L15" s="15">
        <f>IF($L$9=60,110,L9)</f>
        <v>0</v>
      </c>
      <c r="M15" s="15">
        <f t="shared" si="9"/>
        <v>0</v>
      </c>
      <c r="N15" s="15">
        <f t="shared" si="10"/>
        <v>0</v>
      </c>
      <c r="O15" s="15">
        <f>'Fill white Cells '!$M$23</f>
        <v>0</v>
      </c>
      <c r="P15" s="15">
        <f>'Fill white Cells '!$N$23</f>
        <v>0</v>
      </c>
      <c r="Q15" s="15">
        <f>IF('Fill white Cells '!I31&gt;0,'Fill white Cells '!I31,IF(ROUND(('NEW front'!Q27-(Q9+Q10+Q11+Q12+Q13+Q14+Q26+Q27+Q28+Q29))/6,0)&lt;0,0,ROUND(('NEW front'!Q27-(Q9+Q10+Q11+Q12+Q13+Q14+Q26+Q27+Q28+Q29))/6,0)))</f>
        <v>0</v>
      </c>
      <c r="R15" s="15">
        <f t="shared" si="2"/>
        <v>0</v>
      </c>
      <c r="S15" s="169">
        <f t="shared" si="3"/>
        <v>0</v>
      </c>
      <c r="T15" s="169">
        <f t="shared" si="4"/>
        <v>0</v>
      </c>
      <c r="U15" s="170"/>
      <c r="V15" s="126"/>
      <c r="W15" s="59"/>
      <c r="X15" s="91"/>
      <c r="Y15" s="91"/>
      <c r="Z15" s="91">
        <f t="shared" si="0"/>
        <v>0</v>
      </c>
      <c r="AA15" s="78"/>
      <c r="AB15" s="82"/>
      <c r="AC15" s="80">
        <f>IF(AC13=4,((B9+C10)*3/100+B9),)</f>
        <v>0</v>
      </c>
      <c r="AD15" s="80"/>
      <c r="AE15" s="80"/>
      <c r="AF15" s="80"/>
      <c r="AG15" s="80">
        <f>43760-4342</f>
        <v>39418</v>
      </c>
      <c r="AH15" s="80"/>
      <c r="AI15" s="101" t="str">
        <f t="shared" si="5"/>
        <v>0</v>
      </c>
      <c r="AJ15" s="271">
        <v>30600</v>
      </c>
      <c r="AK15" s="12">
        <v>30600</v>
      </c>
      <c r="AL15" s="12">
        <f>'Fill white Cells '!AE57</f>
        <v>0</v>
      </c>
      <c r="AM15" s="271">
        <f t="shared" si="11"/>
        <v>450</v>
      </c>
      <c r="AN15" s="271">
        <v>1000</v>
      </c>
      <c r="AO15" s="271">
        <v>450</v>
      </c>
      <c r="AP15" s="101"/>
      <c r="AQ15" s="101">
        <f>E15</f>
        <v>0</v>
      </c>
      <c r="AR15" s="101">
        <f>(ROUND((B15+C15+D15)*1.32,0))</f>
        <v>0</v>
      </c>
      <c r="AS15" s="101">
        <f>AR15-AQ15</f>
        <v>0</v>
      </c>
      <c r="AT15" s="101"/>
      <c r="AU15" s="101"/>
      <c r="AV15" s="101"/>
      <c r="AW15" s="101"/>
      <c r="AX15" s="101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</row>
    <row r="16" spans="1:65" s="81" customFormat="1" ht="20.25" customHeight="1">
      <c r="A16" s="282">
        <v>45566</v>
      </c>
      <c r="B16" s="15">
        <f>IF(AC13=10,AD19,B15)</f>
        <v>0</v>
      </c>
      <c r="C16" s="15"/>
      <c r="D16" s="15">
        <f t="shared" si="6"/>
        <v>0</v>
      </c>
      <c r="E16" s="15">
        <f>(ROUND((B16+C16)*('Fill white Cells '!J27/100),0))</f>
        <v>0</v>
      </c>
      <c r="F16" s="15">
        <f>IF(B16&lt;=AK10,AL10, IF(B16&lt;=AK11,AL11, IF(B16&lt;=AK12,AL12, IF(B16&lt;=AK13,AL13, IF(B16&lt;=AK14,AL14, IF(B16&lt;=AK15,AL15, IF(B16&lt;=AK16,AL16, IF(B16&lt;=AK17,AL17, IF(B16&lt;=AK18,AL18, IF(B16&lt;=AK19,AL19, IF(B16&lt;=AK20,AL20, IF(B16&lt;=AK21,AL21, IF(B16&lt;=AK22,AL22, IF(B16&lt;=AK23,AL23, IF(B16&lt;=AK24,AL24, IF(B16&lt;=AK25,AL25, IF(B16&gt;=AK26,AL26, 0)))))))))))))))))</f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66">
        <f t="shared" si="1"/>
        <v>0</v>
      </c>
      <c r="K16" s="15">
        <f>(IF('Fill white Cells '!$E$11=1,ROUND((B16+C16+E16)*10%,0)+'Fill white Cells '!J29,'Fill white Cells '!J29))</f>
        <v>0</v>
      </c>
      <c r="L16" s="15">
        <f>L15</f>
        <v>0</v>
      </c>
      <c r="M16" s="15">
        <f t="shared" si="9"/>
        <v>0</v>
      </c>
      <c r="N16" s="15">
        <f t="shared" si="10"/>
        <v>0</v>
      </c>
      <c r="O16" s="15">
        <f>'Fill white Cells '!$M$23</f>
        <v>0</v>
      </c>
      <c r="P16" s="15">
        <f>'Fill white Cells '!$N$23</f>
        <v>0</v>
      </c>
      <c r="Q16" s="15">
        <f>IF('Fill white Cells '!J31&gt;0,'Fill white Cells '!J31,IF(ROUND(('NEW front'!Q27-(Q9+Q10+Q11+Q12+Q13+Q14+Q15+Q26+Q27+Q28+Q29))/5,0)&lt;0,0,ROUND(('NEW front'!Q27-(Q9+Q10+Q11+Q12+Q13+Q14+Q15+Q26+Q27+Q28+Q29))/5,0)))</f>
        <v>0</v>
      </c>
      <c r="R16" s="15">
        <f t="shared" si="2"/>
        <v>0</v>
      </c>
      <c r="S16" s="169">
        <f t="shared" si="3"/>
        <v>0</v>
      </c>
      <c r="T16" s="169">
        <f t="shared" si="4"/>
        <v>0</v>
      </c>
      <c r="U16" s="170"/>
      <c r="V16" s="126"/>
      <c r="W16" s="59"/>
      <c r="X16" s="91"/>
      <c r="Y16" s="91"/>
      <c r="Z16" s="91">
        <f t="shared" si="0"/>
        <v>0</v>
      </c>
      <c r="AA16" s="78"/>
      <c r="AB16" s="82"/>
      <c r="AC16" s="80">
        <f>IF(AC13=7,((B12+C12)*3/100+B12),)</f>
        <v>0</v>
      </c>
      <c r="AD16" s="80"/>
      <c r="AE16" s="80"/>
      <c r="AF16" s="80"/>
      <c r="AG16" s="80">
        <f>AG15-AG14</f>
        <v>39418</v>
      </c>
      <c r="AH16" s="80"/>
      <c r="AI16" s="101" t="str">
        <f t="shared" si="5"/>
        <v>0</v>
      </c>
      <c r="AJ16" s="271">
        <v>35400</v>
      </c>
      <c r="AK16" s="12">
        <v>35400</v>
      </c>
      <c r="AL16" s="12">
        <f>'Fill white Cells '!AE58</f>
        <v>0</v>
      </c>
      <c r="AM16" s="271">
        <f t="shared" si="11"/>
        <v>500</v>
      </c>
      <c r="AN16" s="271">
        <v>1200</v>
      </c>
      <c r="AO16" s="271">
        <v>500</v>
      </c>
      <c r="AP16" s="101"/>
      <c r="AQ16" s="101">
        <f>E16</f>
        <v>0</v>
      </c>
      <c r="AR16" s="101">
        <f>(ROUND((B16+C16+D16)*1.32,0))</f>
        <v>0</v>
      </c>
      <c r="AS16" s="101">
        <f>AR16-AQ16</f>
        <v>0</v>
      </c>
      <c r="AT16" s="101"/>
      <c r="AU16" s="101"/>
      <c r="AV16" s="101"/>
      <c r="AW16" s="101"/>
      <c r="AX16" s="101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</row>
    <row r="17" spans="1:65" s="81" customFormat="1" ht="20.25" customHeight="1">
      <c r="A17" s="282">
        <v>45597</v>
      </c>
      <c r="B17" s="15">
        <f>B16</f>
        <v>0</v>
      </c>
      <c r="C17" s="15"/>
      <c r="D17" s="15">
        <f t="shared" si="6"/>
        <v>0</v>
      </c>
      <c r="E17" s="15">
        <f>(ROUND((B17+C17)*('Fill white Cells '!K27/100),0))</f>
        <v>0</v>
      </c>
      <c r="F17" s="15">
        <f>IF(B17&lt;=AK10,AL10, IF(B17&lt;=AK11,AL11, IF(B17&lt;=AK12,AL12, IF(B17&lt;=AK13,AL13, IF(B17&lt;=AK14,AL14, IF(B17&lt;=AK15,AL15, IF(B17&lt;=AK16,AL16, IF(B17&lt;=AK17,AL17, IF(B17&lt;=AK18,AL18, IF(B17&lt;=AK19,AL19, IF(B17&lt;=AK20,AL20, IF(B17&lt;=AK21,AL21, IF(B17&lt;=AK22,AL22, IF(B17&lt;=AK23,AL23, IF(B17&lt;=AK24,AL24, IF(B17&lt;=AK25,AL25, IF(B17&gt;=AK26,AL26, 0)))))))))))))))))</f>
        <v>0</v>
      </c>
      <c r="G17" s="15">
        <f t="shared" si="7"/>
        <v>0</v>
      </c>
      <c r="H17" s="15">
        <f t="shared" si="7"/>
        <v>0</v>
      </c>
      <c r="I17" s="15">
        <f t="shared" si="7"/>
        <v>0</v>
      </c>
      <c r="J17" s="166">
        <f t="shared" si="1"/>
        <v>0</v>
      </c>
      <c r="K17" s="15">
        <f>(IF('Fill white Cells '!$E$11=1,ROUND((B17+C17+E17)*10%,0)+'Fill white Cells '!K29,'Fill white Cells '!K29))</f>
        <v>0</v>
      </c>
      <c r="L17" s="15">
        <f>L16</f>
        <v>0</v>
      </c>
      <c r="M17" s="15">
        <f t="shared" si="9"/>
        <v>0</v>
      </c>
      <c r="N17" s="15">
        <f t="shared" si="10"/>
        <v>0</v>
      </c>
      <c r="O17" s="15">
        <f>'Fill white Cells '!$M$23</f>
        <v>0</v>
      </c>
      <c r="P17" s="15">
        <f>'Fill white Cells '!$N$23</f>
        <v>0</v>
      </c>
      <c r="Q17" s="15">
        <f>IF('Fill white Cells '!K31&gt;0,'Fill white Cells '!K31,IF(ROUND(('NEW front'!Q27-(Q9+Q10+Q11+Q12+Q13+Q14+Q15+Q16+Q26+Q27+Q28+Q29))/4,0)&lt;0,0,ROUND(('NEW front'!Q27-(Q9+Q10+Q11+Q12+Q13+Q14+Q15+Q16+Q26+Q27+Q28+Q29))/4,0)))</f>
        <v>0</v>
      </c>
      <c r="R17" s="15">
        <f>ROUND((Q17*4/100),0)</f>
        <v>0</v>
      </c>
      <c r="S17" s="169">
        <f t="shared" si="3"/>
        <v>0</v>
      </c>
      <c r="T17" s="169">
        <f t="shared" si="4"/>
        <v>0</v>
      </c>
      <c r="U17" s="170"/>
      <c r="V17" s="126"/>
      <c r="W17" s="59"/>
      <c r="X17" s="91"/>
      <c r="Y17" s="91"/>
      <c r="Z17" s="91">
        <f t="shared" si="0"/>
        <v>0</v>
      </c>
      <c r="AA17" s="78"/>
      <c r="AB17" s="82"/>
      <c r="AC17" s="80">
        <f>IF(AC13=10,((B15+C15)*3/100+B15),)</f>
        <v>0</v>
      </c>
      <c r="AD17" s="80"/>
      <c r="AE17" s="80"/>
      <c r="AF17" s="80"/>
      <c r="AG17" s="80"/>
      <c r="AH17" s="80"/>
      <c r="AI17" s="101" t="str">
        <f t="shared" si="5"/>
        <v>0</v>
      </c>
      <c r="AJ17" s="271">
        <v>37300</v>
      </c>
      <c r="AK17" s="12">
        <v>37300</v>
      </c>
      <c r="AL17" s="12">
        <f>'Fill white Cells '!AE59</f>
        <v>0</v>
      </c>
      <c r="AM17" s="271">
        <f t="shared" si="11"/>
        <v>550</v>
      </c>
      <c r="AN17" s="271">
        <v>1500</v>
      </c>
      <c r="AO17" s="271">
        <v>550</v>
      </c>
      <c r="AP17" s="101"/>
      <c r="AQ17" s="101">
        <f>E17</f>
        <v>0</v>
      </c>
      <c r="AR17" s="101">
        <f>(ROUND((B17+C17+D17)*1.32,0))</f>
        <v>0</v>
      </c>
      <c r="AS17" s="101">
        <f>AR17-AQ17</f>
        <v>0</v>
      </c>
      <c r="AT17" s="101"/>
      <c r="AU17" s="101"/>
      <c r="AV17" s="101"/>
      <c r="AW17" s="101"/>
      <c r="AX17" s="101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</row>
    <row r="18" spans="1:65" s="81" customFormat="1" ht="20.25" customHeight="1">
      <c r="A18" s="282">
        <v>45627</v>
      </c>
      <c r="B18" s="15">
        <f>B17</f>
        <v>0</v>
      </c>
      <c r="C18" s="15"/>
      <c r="D18" s="15">
        <f t="shared" si="6"/>
        <v>0</v>
      </c>
      <c r="E18" s="15">
        <f>(ROUND((B18+C18)*('Fill white Cells '!L27/100),0))</f>
        <v>0</v>
      </c>
      <c r="F18" s="15">
        <f>IF(B18&lt;=AK10,AL10, IF(B18&lt;=AK11,AL11, IF(B18&lt;=AK12,AL12, IF(B18&lt;=AK13,AL13, IF(B18&lt;=AK14,AL14, IF(B18&lt;=AK15,AL15, IF(B18&lt;=AK16,AL16, IF(B18&lt;=AK17,AL17, IF(B18&lt;=AK18,AL18, IF(B18&lt;=AK19,AL19, IF(B18&lt;=AK20,AL20, IF(B18&lt;=AK21,AL21, IF(B18&lt;=AK22,AL22, IF(B18&lt;=AK23,AL23, IF(B18&lt;=AK24,AL24, IF(B18&lt;=AK25,AL25, IF(B18&gt;=AK26,AL26, 0)))))))))))))))))</f>
        <v>0</v>
      </c>
      <c r="G18" s="15">
        <f t="shared" si="7"/>
        <v>0</v>
      </c>
      <c r="H18" s="15">
        <f t="shared" si="7"/>
        <v>0</v>
      </c>
      <c r="I18" s="15">
        <f t="shared" si="7"/>
        <v>0</v>
      </c>
      <c r="J18" s="166">
        <f t="shared" si="1"/>
        <v>0</v>
      </c>
      <c r="K18" s="15">
        <f>(IF('Fill white Cells '!$E$11=1,ROUND((B18+C18+E18)*10%,0)+'Fill white Cells '!L29,'Fill white Cells '!L29))</f>
        <v>0</v>
      </c>
      <c r="L18" s="15">
        <f>L17</f>
        <v>0</v>
      </c>
      <c r="M18" s="15">
        <f t="shared" si="9"/>
        <v>0</v>
      </c>
      <c r="N18" s="15">
        <f t="shared" si="10"/>
        <v>0</v>
      </c>
      <c r="O18" s="15">
        <f>'Fill white Cells '!$M$23</f>
        <v>0</v>
      </c>
      <c r="P18" s="15">
        <f>'Fill white Cells '!$N$23</f>
        <v>0</v>
      </c>
      <c r="Q18" s="15">
        <f>IF('Fill white Cells '!L31&gt;0,'Fill white Cells '!L31,IF(ROUND(('NEW front'!Q27-(Q9+Q10+Q11+Q12+Q13+Q14+Q15+Q16+Q17+Q26+Q27+Q28+Q29))/3,0)&lt;0,0,ROUND(('NEW front'!Q27-(Q9+Q10+Q11+Q12+Q13+Q14+Q15+Q16+Q17+Q26+Q27+Q28+Q29))/3,0)))</f>
        <v>0</v>
      </c>
      <c r="R18" s="15">
        <f t="shared" si="2"/>
        <v>0</v>
      </c>
      <c r="S18" s="169">
        <f t="shared" si="3"/>
        <v>0</v>
      </c>
      <c r="T18" s="169">
        <f t="shared" si="4"/>
        <v>0</v>
      </c>
      <c r="U18" s="170"/>
      <c r="V18" s="126"/>
      <c r="W18" s="59"/>
      <c r="X18" s="91"/>
      <c r="Y18" s="91"/>
      <c r="Z18" s="91">
        <f t="shared" si="0"/>
        <v>0</v>
      </c>
      <c r="AA18" s="78"/>
      <c r="AB18" s="82"/>
      <c r="AC18" s="80"/>
      <c r="AD18" s="80"/>
      <c r="AE18" s="80"/>
      <c r="AF18" s="80"/>
      <c r="AG18" s="80"/>
      <c r="AH18" s="80">
        <f>41384-4104</f>
        <v>37280</v>
      </c>
      <c r="AI18" s="101" t="str">
        <f t="shared" si="5"/>
        <v>0</v>
      </c>
      <c r="AJ18" s="271">
        <v>41100</v>
      </c>
      <c r="AK18" s="12">
        <v>41100</v>
      </c>
      <c r="AL18" s="12">
        <f>'Fill white Cells '!AE60</f>
        <v>0</v>
      </c>
      <c r="AM18" s="271">
        <f t="shared" si="11"/>
        <v>600</v>
      </c>
      <c r="AN18" s="271">
        <v>1700</v>
      </c>
      <c r="AO18" s="271">
        <v>600</v>
      </c>
      <c r="AP18" s="101"/>
      <c r="AQ18" s="101"/>
      <c r="AR18" s="101"/>
      <c r="AS18" s="101">
        <f>SUM(AS13:AS17)</f>
        <v>0</v>
      </c>
      <c r="AT18" s="101"/>
      <c r="AU18" s="101"/>
      <c r="AV18" s="101"/>
      <c r="AW18" s="101"/>
      <c r="AX18" s="101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</row>
    <row r="19" spans="1:65" s="81" customFormat="1" ht="20.25" customHeight="1">
      <c r="A19" s="282">
        <v>45658</v>
      </c>
      <c r="B19" s="15">
        <f>IF(AC13=1,AD19,B18)</f>
        <v>0</v>
      </c>
      <c r="C19" s="15"/>
      <c r="D19" s="15">
        <f t="shared" si="6"/>
        <v>0</v>
      </c>
      <c r="E19" s="15">
        <f>(ROUND((B19+C19)*('Fill white Cells '!M27/100),0))</f>
        <v>0</v>
      </c>
      <c r="F19" s="15">
        <f>IF(B19&lt;=AK10,AL10, IF(B19&lt;=AK11,AL11, IF(B19&lt;=AK12,AL12, IF(B19&lt;=AK13,AL13, IF(B19&lt;=AK14,AL14, IF(B19&lt;=AK15,AL15, IF(B19&lt;=AK16,AL16, IF(B19&lt;=AK17,AL17, IF(B19&lt;=AK18,AL18, IF(B19&lt;=AK19,AL19, IF(B19&lt;=AK20,AL20, IF(B19&lt;=AK21,AL21, IF(B19&lt;=AK22,AL22, IF(B19&lt;=AK23,AL23, IF(B19&lt;=AK24,AL24, IF(B19&lt;=AK25,AL25, IF(B19&gt;=AK26,AL26, 0)))))))))))))))))</f>
        <v>0</v>
      </c>
      <c r="G19" s="15">
        <f t="shared" si="7"/>
        <v>0</v>
      </c>
      <c r="H19" s="15">
        <f t="shared" si="7"/>
        <v>0</v>
      </c>
      <c r="I19" s="15">
        <f t="shared" si="7"/>
        <v>0</v>
      </c>
      <c r="J19" s="166">
        <f t="shared" si="1"/>
        <v>0</v>
      </c>
      <c r="K19" s="15">
        <f>(IF('Fill white Cells '!$E$11=1,ROUND((B19+C19+E19)*10%,0)+'Fill white Cells '!M29,'Fill white Cells '!M29))</f>
        <v>0</v>
      </c>
      <c r="L19" s="15">
        <f>L18</f>
        <v>0</v>
      </c>
      <c r="M19" s="15">
        <f t="shared" si="9"/>
        <v>0</v>
      </c>
      <c r="N19" s="15">
        <f t="shared" si="10"/>
        <v>0</v>
      </c>
      <c r="O19" s="15">
        <f>'Fill white Cells '!$M$23</f>
        <v>0</v>
      </c>
      <c r="P19" s="15">
        <f>'Fill white Cells '!$N$23</f>
        <v>0</v>
      </c>
      <c r="Q19" s="15">
        <f>IF('Fill white Cells '!M31&gt;0,'Fill white Cells '!M31,IF(ROUND(('NEW front'!Q27-(Q9+Q10+Q11+Q12+Q13+Q14+Q15+Q16+Q17+Q18+Q26+Q27+Q28+Q29))/2,0)&lt;0,0,ROUND(('NEW front'!Q27-(Q9+Q10+Q11+Q12+Q13+Q14+Q15+Q16+Q17+Q18+Q26+Q27+Q28+Q29))/2,0)))</f>
        <v>0</v>
      </c>
      <c r="R19" s="15">
        <f t="shared" si="2"/>
        <v>0</v>
      </c>
      <c r="S19" s="169">
        <f t="shared" si="3"/>
        <v>0</v>
      </c>
      <c r="T19" s="169">
        <f t="shared" si="4"/>
        <v>0</v>
      </c>
      <c r="U19" s="170">
        <f>'Fill white Cells '!N35</f>
        <v>0</v>
      </c>
      <c r="V19" s="126"/>
      <c r="W19" s="59"/>
      <c r="X19" s="91"/>
      <c r="Y19" s="91"/>
      <c r="Z19" s="91">
        <f t="shared" si="0"/>
        <v>0</v>
      </c>
      <c r="AA19" s="78"/>
      <c r="AB19" s="82"/>
      <c r="AC19" s="80">
        <f>ROUND(SUM(AC14:AC17),-2)</f>
        <v>0</v>
      </c>
      <c r="AD19" s="80">
        <f>ROUNDUP(AC19,-1)</f>
        <v>0</v>
      </c>
      <c r="AE19" s="80"/>
      <c r="AF19" s="80"/>
      <c r="AG19" s="80"/>
      <c r="AH19" s="80"/>
      <c r="AI19" s="101" t="str">
        <f t="shared" si="5"/>
        <v>0</v>
      </c>
      <c r="AJ19" s="271">
        <v>44500</v>
      </c>
      <c r="AK19" s="12">
        <v>44500</v>
      </c>
      <c r="AL19" s="12">
        <f>'Fill white Cells '!AE61</f>
        <v>0</v>
      </c>
      <c r="AM19" s="271">
        <f t="shared" si="11"/>
        <v>650</v>
      </c>
      <c r="AN19" s="271">
        <v>1900</v>
      </c>
      <c r="AO19" s="271">
        <v>650</v>
      </c>
      <c r="AP19" s="101">
        <v>1220</v>
      </c>
      <c r="AQ19" s="101"/>
      <c r="AR19" s="101"/>
      <c r="AS19" s="101"/>
      <c r="AT19" s="101"/>
      <c r="AU19" s="101"/>
      <c r="AV19" s="101"/>
      <c r="AW19" s="101"/>
      <c r="AX19" s="101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</row>
    <row r="20" spans="1:65" s="81" customFormat="1" ht="20.25" customHeight="1">
      <c r="A20" s="282">
        <v>45689</v>
      </c>
      <c r="B20" s="15">
        <f>B19</f>
        <v>0</v>
      </c>
      <c r="C20" s="15"/>
      <c r="D20" s="15">
        <f>D19</f>
        <v>0</v>
      </c>
      <c r="E20" s="15">
        <f>(ROUND((B20+C20)*('Fill white Cells '!N27/100),0))</f>
        <v>0</v>
      </c>
      <c r="F20" s="15">
        <f>IF(B20&lt;=AK10,AL10, IF(B20&lt;=AK11,AL11, IF(B20&lt;=AK12,AL12, IF(B20&lt;=AK13,AL13, IF(B20&lt;=AK14,AL14, IF(B20&lt;=AK15,AL15, IF(B20&lt;=AK16,AL16, IF(B20&lt;=AK17,AL17, IF(B20&lt;=AK18,AL18, IF(B20&lt;=AK19,AL19, IF(B20&lt;=AK20,AL20, IF(B20&lt;=AK21,AL21, IF(B20&lt;=AK22,AL22, IF(B20&lt;=AK23,AL23, IF(B20&lt;=AK24,AL24, IF(B20&lt;=AK25,AL25, IF(B20&gt;=AK26,AL26, 0)))))))))))))))))</f>
        <v>0</v>
      </c>
      <c r="G20" s="15">
        <f>G19</f>
        <v>0</v>
      </c>
      <c r="H20" s="15">
        <f>H19</f>
        <v>0</v>
      </c>
      <c r="I20" s="15">
        <f>I19</f>
        <v>0</v>
      </c>
      <c r="J20" s="166">
        <f t="shared" si="1"/>
        <v>0</v>
      </c>
      <c r="K20" s="15">
        <f>(IF('Fill white Cells '!$E$11=1,ROUND((B20+C20+E20)*10%,0)+'Fill white Cells '!N29,'Fill white Cells '!N29))</f>
        <v>0</v>
      </c>
      <c r="L20" s="15">
        <f>L19</f>
        <v>0</v>
      </c>
      <c r="M20" s="15">
        <f>M19</f>
        <v>0</v>
      </c>
      <c r="N20" s="15">
        <f t="shared" si="10"/>
        <v>0</v>
      </c>
      <c r="O20" s="15">
        <f>'Fill white Cells '!$M$23</f>
        <v>0</v>
      </c>
      <c r="P20" s="15">
        <f>'Fill white Cells '!$N$23</f>
        <v>0</v>
      </c>
      <c r="Q20" s="15">
        <f>IF('Fill white Cells '!N31&gt;0,'Fill white Cells '!N31,IF(('NEW front'!Q27-(Q9+Q10+Q11+Q12+Q13+Q14+Q15+Q16+Q17+Q18+Q19+Q26+Q27+Q28+Q29))&gt;0,('NEW front'!Q27-(Q9+Q10+Q11+Q12+Q13+Q14+Q15+Q16+Q17+Q18+Q19+Q26+Q27+Q28+Q29)),0))</f>
        <v>0</v>
      </c>
      <c r="R20" s="15">
        <f t="shared" si="2"/>
        <v>0</v>
      </c>
      <c r="S20" s="169">
        <f>SUM(K20:R20)</f>
        <v>0</v>
      </c>
      <c r="T20" s="169">
        <f t="shared" si="4"/>
        <v>0</v>
      </c>
      <c r="U20" s="170"/>
      <c r="V20" s="126"/>
      <c r="W20" s="59"/>
      <c r="X20" s="91"/>
      <c r="Y20" s="91"/>
      <c r="Z20" s="91">
        <f t="shared" si="0"/>
        <v>0</v>
      </c>
      <c r="AA20" s="78"/>
      <c r="AB20" s="82"/>
      <c r="AC20" s="80"/>
      <c r="AD20" s="80"/>
      <c r="AE20" s="80"/>
      <c r="AF20" s="80"/>
      <c r="AG20" s="80"/>
      <c r="AH20" s="80">
        <f>43760*23.6/100</f>
        <v>10327.36</v>
      </c>
      <c r="AI20" s="101" t="str">
        <f t="shared" si="5"/>
        <v>0</v>
      </c>
      <c r="AJ20" s="271">
        <v>50200</v>
      </c>
      <c r="AK20" s="12">
        <v>50200</v>
      </c>
      <c r="AL20" s="12">
        <f>'Fill white Cells '!AE62</f>
        <v>0</v>
      </c>
      <c r="AM20" s="271">
        <f>IF(AM19=AN19,AN20, AO20)</f>
        <v>650</v>
      </c>
      <c r="AN20" s="271">
        <v>2000</v>
      </c>
      <c r="AO20" s="271">
        <v>650</v>
      </c>
      <c r="AP20" s="101"/>
      <c r="AQ20" s="101"/>
      <c r="AR20" s="101"/>
      <c r="AS20" s="101"/>
      <c r="AT20" s="101"/>
      <c r="AU20" s="101"/>
      <c r="AV20" s="101"/>
      <c r="AW20" s="101"/>
      <c r="AX20" s="101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</row>
    <row r="21" spans="1:65" s="89" customFormat="1" ht="20.25" customHeight="1">
      <c r="A21" s="340" t="s">
        <v>230</v>
      </c>
      <c r="B21" s="179">
        <f>SUM(B9:B20)</f>
        <v>0</v>
      </c>
      <c r="C21" s="179">
        <f t="shared" ref="C21:U21" si="12">SUM(C9:C20)</f>
        <v>0</v>
      </c>
      <c r="D21" s="171">
        <f t="shared" si="12"/>
        <v>0</v>
      </c>
      <c r="E21" s="179">
        <f t="shared" si="12"/>
        <v>0</v>
      </c>
      <c r="F21" s="179">
        <f t="shared" si="12"/>
        <v>0</v>
      </c>
      <c r="G21" s="179">
        <f t="shared" si="12"/>
        <v>0</v>
      </c>
      <c r="H21" s="179">
        <f t="shared" si="12"/>
        <v>0</v>
      </c>
      <c r="I21" s="179">
        <f t="shared" si="12"/>
        <v>0</v>
      </c>
      <c r="J21" s="179">
        <f t="shared" si="12"/>
        <v>0</v>
      </c>
      <c r="K21" s="179">
        <f t="shared" si="12"/>
        <v>0</v>
      </c>
      <c r="L21" s="246">
        <f t="shared" si="12"/>
        <v>0</v>
      </c>
      <c r="M21" s="179">
        <f t="shared" si="12"/>
        <v>0</v>
      </c>
      <c r="N21" s="246">
        <f t="shared" si="12"/>
        <v>0</v>
      </c>
      <c r="O21" s="179">
        <f t="shared" si="12"/>
        <v>0</v>
      </c>
      <c r="P21" s="179">
        <f t="shared" si="12"/>
        <v>0</v>
      </c>
      <c r="Q21" s="179">
        <f t="shared" si="12"/>
        <v>0</v>
      </c>
      <c r="R21" s="179">
        <f t="shared" si="12"/>
        <v>0</v>
      </c>
      <c r="S21" s="180">
        <f t="shared" si="12"/>
        <v>0</v>
      </c>
      <c r="T21" s="179">
        <f t="shared" si="12"/>
        <v>0</v>
      </c>
      <c r="U21" s="181">
        <f t="shared" si="12"/>
        <v>0</v>
      </c>
      <c r="V21" s="182"/>
      <c r="W21" s="84"/>
      <c r="X21" s="182">
        <f>SUM(X9:X20)</f>
        <v>0</v>
      </c>
      <c r="Y21" s="182">
        <f>SUM(Y9:Y20)</f>
        <v>0</v>
      </c>
      <c r="Z21" s="285">
        <f>SUM(Z9:Z20)</f>
        <v>0</v>
      </c>
      <c r="AA21" s="85"/>
      <c r="AB21" s="86"/>
      <c r="AC21" s="87"/>
      <c r="AD21" s="87"/>
      <c r="AE21" s="87"/>
      <c r="AF21" s="87"/>
      <c r="AG21" s="87"/>
      <c r="AH21" s="87">
        <f>43760+AH20</f>
        <v>54087.360000000001</v>
      </c>
      <c r="AI21" s="263" t="str">
        <f t="shared" si="5"/>
        <v>0</v>
      </c>
      <c r="AJ21" s="270">
        <v>51600</v>
      </c>
      <c r="AK21" s="286">
        <v>51600</v>
      </c>
      <c r="AL21" s="286">
        <f>'Fill white Cells '!AE67</f>
        <v>0</v>
      </c>
      <c r="AM21" s="270">
        <f t="shared" si="11"/>
        <v>700</v>
      </c>
      <c r="AN21" s="270">
        <v>2200</v>
      </c>
      <c r="AO21" s="270">
        <v>700</v>
      </c>
      <c r="AP21" s="263"/>
      <c r="AQ21" s="263"/>
      <c r="AR21" s="263"/>
      <c r="AS21" s="263"/>
      <c r="AT21" s="263"/>
      <c r="AU21" s="263"/>
      <c r="AV21" s="263"/>
      <c r="AW21" s="263"/>
      <c r="AX21" s="263"/>
      <c r="AY21" s="87"/>
      <c r="AZ21" s="87"/>
      <c r="BA21" s="87"/>
      <c r="BB21" s="87"/>
      <c r="BC21" s="87"/>
      <c r="BD21" s="88"/>
      <c r="BE21" s="87"/>
      <c r="BF21" s="87"/>
      <c r="BG21" s="87"/>
      <c r="BH21" s="87"/>
      <c r="BI21" s="87"/>
      <c r="BJ21" s="87"/>
      <c r="BK21" s="87"/>
      <c r="BL21" s="87"/>
      <c r="BM21" s="87"/>
    </row>
    <row r="22" spans="1:65" s="81" customFormat="1" ht="21" hidden="1" customHeight="1">
      <c r="A22" s="90" t="s">
        <v>488</v>
      </c>
      <c r="B22" s="15"/>
      <c r="C22" s="15"/>
      <c r="D22" s="15"/>
      <c r="E22" s="15">
        <f>'Fill white Cells '!E63</f>
        <v>0</v>
      </c>
      <c r="F22" s="15"/>
      <c r="G22" s="15"/>
      <c r="H22" s="15"/>
      <c r="I22" s="15"/>
      <c r="J22" s="166">
        <f t="shared" ref="J22:J25" si="13">SUM(B22:I22)</f>
        <v>0</v>
      </c>
      <c r="K22" s="15" t="str">
        <f>IF('Fill white Cells '!$E$11=1,ROUND((B22+C22+E22)*10%,0)," ")</f>
        <v xml:space="preserve"> </v>
      </c>
      <c r="L22" s="15"/>
      <c r="M22" s="15"/>
      <c r="N22" s="15"/>
      <c r="O22" s="15"/>
      <c r="P22" s="15"/>
      <c r="Q22" s="15"/>
      <c r="R22" s="15"/>
      <c r="S22" s="169">
        <f t="shared" ref="S22:S24" si="14">SUM(K22:P22)</f>
        <v>0</v>
      </c>
      <c r="T22" s="169">
        <f t="shared" si="4"/>
        <v>0</v>
      </c>
      <c r="U22" s="170"/>
      <c r="V22" s="126"/>
      <c r="W22" s="59"/>
      <c r="X22" s="91"/>
      <c r="Y22" s="91"/>
      <c r="Z22" s="284" t="e">
        <f>J22-K22</f>
        <v>#VALUE!</v>
      </c>
      <c r="AA22" s="78"/>
      <c r="AB22" s="82"/>
      <c r="AC22" s="80"/>
      <c r="AD22" s="80"/>
      <c r="AE22" s="80"/>
      <c r="AF22" s="80"/>
      <c r="AG22" s="80"/>
      <c r="AH22" s="80"/>
      <c r="AI22" s="101"/>
      <c r="AJ22" s="271">
        <v>54000</v>
      </c>
      <c r="AK22" s="12">
        <v>54000</v>
      </c>
      <c r="AL22" s="12">
        <f>'Fill white Cells '!AE68</f>
        <v>0</v>
      </c>
      <c r="AM22" s="271">
        <f t="shared" si="11"/>
        <v>750</v>
      </c>
      <c r="AN22" s="271">
        <v>2200</v>
      </c>
      <c r="AO22" s="271">
        <v>750</v>
      </c>
      <c r="AP22" s="101"/>
      <c r="AQ22" s="101"/>
      <c r="AR22" s="101"/>
      <c r="AS22" s="101"/>
      <c r="AT22" s="101"/>
      <c r="AU22" s="101"/>
      <c r="AV22" s="101"/>
      <c r="AW22" s="101"/>
      <c r="AX22" s="101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</row>
    <row r="23" spans="1:65" s="81" customFormat="1" ht="21" hidden="1" customHeight="1">
      <c r="A23" s="90" t="s">
        <v>489</v>
      </c>
      <c r="B23" s="15"/>
      <c r="C23" s="15"/>
      <c r="D23" s="15"/>
      <c r="E23" s="15">
        <f>'Fill white Cells '!E64</f>
        <v>0</v>
      </c>
      <c r="F23" s="15"/>
      <c r="G23" s="15"/>
      <c r="H23" s="15"/>
      <c r="I23" s="15"/>
      <c r="J23" s="166">
        <f t="shared" si="13"/>
        <v>0</v>
      </c>
      <c r="K23" s="15" t="str">
        <f>IF('Fill white Cells '!$E$11=1,ROUND((B23+C23+E23)*10%,0)," ")</f>
        <v xml:space="preserve"> </v>
      </c>
      <c r="L23" s="15"/>
      <c r="M23" s="15"/>
      <c r="N23" s="15"/>
      <c r="O23" s="15"/>
      <c r="P23" s="15"/>
      <c r="Q23" s="15"/>
      <c r="R23" s="15"/>
      <c r="S23" s="169">
        <f t="shared" si="14"/>
        <v>0</v>
      </c>
      <c r="T23" s="169">
        <f t="shared" si="4"/>
        <v>0</v>
      </c>
      <c r="U23" s="170"/>
      <c r="V23" s="126"/>
      <c r="W23" s="59"/>
      <c r="X23" s="91"/>
      <c r="Y23" s="91"/>
      <c r="Z23" s="77" t="e">
        <f>J23-K23</f>
        <v>#VALUE!</v>
      </c>
      <c r="AA23" s="78"/>
      <c r="AB23" s="82"/>
      <c r="AC23" s="80"/>
      <c r="AD23" s="80"/>
      <c r="AE23" s="80"/>
      <c r="AF23" s="80"/>
      <c r="AG23" s="80"/>
      <c r="AH23" s="80"/>
      <c r="AI23" s="101"/>
      <c r="AJ23" s="271">
        <v>55500</v>
      </c>
      <c r="AK23" s="12">
        <v>55500</v>
      </c>
      <c r="AL23" s="12">
        <f>'Fill white Cells '!AE69</f>
        <v>0</v>
      </c>
      <c r="AM23" s="271">
        <f t="shared" si="11"/>
        <v>800</v>
      </c>
      <c r="AN23" s="271">
        <v>2200</v>
      </c>
      <c r="AO23" s="271">
        <v>800</v>
      </c>
      <c r="AP23" s="101"/>
      <c r="AQ23" s="101"/>
      <c r="AR23" s="101"/>
      <c r="AS23" s="101"/>
      <c r="AT23" s="101"/>
      <c r="AU23" s="101"/>
      <c r="AV23" s="101"/>
      <c r="AW23" s="101"/>
      <c r="AX23" s="101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</row>
    <row r="24" spans="1:65" s="81" customFormat="1" ht="20.25" hidden="1" customHeight="1">
      <c r="A24" s="90" t="s">
        <v>231</v>
      </c>
      <c r="B24" s="15">
        <f>IF($E$35=30,IF(F36=0,F37,F36),IF(F37=0,ROUND(F36/2,0),ROUND(F37/2,0)))</f>
        <v>0</v>
      </c>
      <c r="C24" s="15">
        <f>IF($E$35=30,IF(G36=0,G37,G36),IF(G37=0,ROUND(G36/2,0),ROUND(G37/2,0)))</f>
        <v>0</v>
      </c>
      <c r="D24" s="15">
        <f>IF($E$35=30,IF(H36=0,H37,H36),IF(H37=0,ROUND(H36/2,0),ROUND(H37/2,0)))</f>
        <v>0</v>
      </c>
      <c r="E24" s="15">
        <f>IF($E$35=30,IF(I36=0,I37,I36),IF(I37=0,ROUND(I36/2,0),ROUND(I37/2,0)))</f>
        <v>0</v>
      </c>
      <c r="F24" s="15">
        <f>IF($E$35=30,IF(J36=0,J37,J36),IF(J37=0,ROUND(J36/2,0),ROUND(J37/2,0)))</f>
        <v>0</v>
      </c>
      <c r="G24" s="15"/>
      <c r="H24" s="15"/>
      <c r="I24" s="15"/>
      <c r="J24" s="166">
        <f t="shared" si="13"/>
        <v>0</v>
      </c>
      <c r="K24" s="15"/>
      <c r="L24" s="15"/>
      <c r="M24" s="15"/>
      <c r="N24" s="15"/>
      <c r="O24" s="15"/>
      <c r="P24" s="15"/>
      <c r="Q24" s="15"/>
      <c r="R24" s="15"/>
      <c r="S24" s="169">
        <f t="shared" si="14"/>
        <v>0</v>
      </c>
      <c r="T24" s="169">
        <f t="shared" si="4"/>
        <v>0</v>
      </c>
      <c r="U24" s="170"/>
      <c r="V24" s="126"/>
      <c r="AA24" s="82"/>
      <c r="AB24" s="82"/>
      <c r="AC24" s="80"/>
      <c r="AD24" s="80"/>
      <c r="AE24" s="80"/>
      <c r="AF24" s="80"/>
      <c r="AG24" s="80">
        <f>1198*8</f>
        <v>9584</v>
      </c>
      <c r="AH24" s="80">
        <f>19370*2.62</f>
        <v>50749.4</v>
      </c>
      <c r="AI24" s="101"/>
      <c r="AJ24" s="271">
        <v>56900</v>
      </c>
      <c r="AK24" s="12">
        <v>56900</v>
      </c>
      <c r="AL24" s="12">
        <f>'Fill white Cells '!AE76</f>
        <v>0</v>
      </c>
      <c r="AM24" s="271">
        <f t="shared" si="11"/>
        <v>850</v>
      </c>
      <c r="AN24" s="271">
        <v>2200</v>
      </c>
      <c r="AO24" s="271">
        <v>850</v>
      </c>
      <c r="AP24" s="101"/>
      <c r="AQ24" s="101"/>
      <c r="AR24" s="101"/>
      <c r="AS24" s="101"/>
      <c r="AT24" s="101"/>
      <c r="AU24" s="101"/>
      <c r="AV24" s="101"/>
      <c r="AW24" s="101"/>
      <c r="AX24" s="101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</row>
    <row r="25" spans="1:65" s="81" customFormat="1" ht="20.25" customHeight="1">
      <c r="A25" s="283" t="s">
        <v>232</v>
      </c>
      <c r="B25" s="15"/>
      <c r="C25" s="15"/>
      <c r="D25" s="15"/>
      <c r="E25" s="15"/>
      <c r="F25" s="15"/>
      <c r="G25" s="15"/>
      <c r="H25" s="15"/>
      <c r="I25" s="15">
        <f>'Fill white Cells '!J35</f>
        <v>0</v>
      </c>
      <c r="J25" s="166">
        <f t="shared" si="13"/>
        <v>0</v>
      </c>
      <c r="K25" s="15"/>
      <c r="L25" s="15"/>
      <c r="M25" s="15"/>
      <c r="N25" s="15"/>
      <c r="O25" s="15"/>
      <c r="P25" s="15"/>
      <c r="Q25" s="15"/>
      <c r="R25" s="15"/>
      <c r="S25" s="169"/>
      <c r="T25" s="169">
        <f t="shared" si="4"/>
        <v>0</v>
      </c>
      <c r="U25" s="170"/>
      <c r="V25" s="126"/>
      <c r="AA25" s="82"/>
      <c r="AB25" s="82"/>
      <c r="AC25" s="80"/>
      <c r="AD25" s="80"/>
      <c r="AE25" s="80"/>
      <c r="AF25" s="80"/>
      <c r="AG25" s="80"/>
      <c r="AH25" s="80"/>
      <c r="AI25" s="101"/>
      <c r="AJ25" s="271">
        <v>64200</v>
      </c>
      <c r="AK25" s="12">
        <v>64200</v>
      </c>
      <c r="AL25" s="12">
        <f>'Fill white Cells '!AE77</f>
        <v>0</v>
      </c>
      <c r="AM25" s="271">
        <f t="shared" si="11"/>
        <v>850</v>
      </c>
      <c r="AN25" s="271">
        <v>2200</v>
      </c>
      <c r="AO25" s="271">
        <v>850</v>
      </c>
      <c r="AP25" s="101"/>
      <c r="AQ25" s="101"/>
      <c r="AR25" s="101"/>
      <c r="AS25" s="101"/>
      <c r="AT25" s="101"/>
      <c r="AU25" s="101"/>
      <c r="AV25" s="101"/>
      <c r="AW25" s="101"/>
      <c r="AX25" s="101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</row>
    <row r="26" spans="1:65" s="81" customFormat="1" ht="20.25" customHeight="1">
      <c r="A26" s="293" t="str">
        <f>IF('Fill white Cells '!B39="","Arrear-I",'Fill white Cells '!B39)</f>
        <v>DA ARR 3M</v>
      </c>
      <c r="B26" s="15">
        <f>'Fill white Cells '!C39</f>
        <v>0</v>
      </c>
      <c r="C26" s="15">
        <f>'Fill white Cells '!D39</f>
        <v>0</v>
      </c>
      <c r="D26" s="15">
        <f>'Fill white Cells '!E39</f>
        <v>0</v>
      </c>
      <c r="E26" s="15">
        <f>'Fill white Cells '!F39</f>
        <v>0</v>
      </c>
      <c r="F26" s="15">
        <f>'Fill white Cells '!G39</f>
        <v>0</v>
      </c>
      <c r="G26" s="15">
        <f>'Fill white Cells '!H39</f>
        <v>0</v>
      </c>
      <c r="H26" s="15"/>
      <c r="I26" s="15">
        <f>'Fill white Cells '!I39</f>
        <v>0</v>
      </c>
      <c r="J26" s="166">
        <f>SUM(B26:I26)</f>
        <v>0</v>
      </c>
      <c r="K26" s="15" t="str">
        <f>IF('Fill white Cells '!$E$11=1, 'Fill white Cells '!K39," ")</f>
        <v xml:space="preserve"> </v>
      </c>
      <c r="L26" s="15"/>
      <c r="M26" s="15"/>
      <c r="N26" s="15"/>
      <c r="O26" s="15"/>
      <c r="P26" s="15"/>
      <c r="Q26" s="15">
        <f>'Fill white Cells '!J39</f>
        <v>0</v>
      </c>
      <c r="R26" s="15">
        <f t="shared" ref="R26:R29" si="15">ROUND((Q26*4/100),0)</f>
        <v>0</v>
      </c>
      <c r="S26" s="169">
        <f>SUM(K26:R26)</f>
        <v>0</v>
      </c>
      <c r="T26" s="169">
        <f t="shared" si="4"/>
        <v>0</v>
      </c>
      <c r="U26" s="170"/>
      <c r="V26" s="126"/>
      <c r="W26" s="92"/>
      <c r="AA26" s="82"/>
      <c r="AB26" s="82"/>
      <c r="AC26" s="80"/>
      <c r="AD26" s="80"/>
      <c r="AE26" s="80">
        <f>1196-120</f>
        <v>1076</v>
      </c>
      <c r="AF26" s="80"/>
      <c r="AG26" s="80"/>
      <c r="AH26" s="80"/>
      <c r="AI26" s="101"/>
      <c r="AJ26" s="271">
        <v>64201</v>
      </c>
      <c r="AK26" s="12">
        <v>64201</v>
      </c>
      <c r="AL26" s="12">
        <f>'Fill white Cells '!AE80</f>
        <v>0</v>
      </c>
      <c r="AM26" s="271">
        <f>IF(AM25=AN25,AN26, AO26)</f>
        <v>850</v>
      </c>
      <c r="AN26" s="271">
        <v>2200</v>
      </c>
      <c r="AO26" s="271">
        <v>850</v>
      </c>
      <c r="AP26" s="101"/>
      <c r="AQ26" s="101"/>
      <c r="AR26" s="101"/>
      <c r="AS26" s="101"/>
      <c r="AT26" s="101"/>
      <c r="AU26" s="101"/>
      <c r="AV26" s="101"/>
      <c r="AW26" s="101"/>
      <c r="AX26" s="101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</row>
    <row r="27" spans="1:65" s="81" customFormat="1" ht="20.25" customHeight="1">
      <c r="A27" s="293" t="str">
        <f>IF('Fill white Cells '!B40="","Arrear-II",'Fill white Cells '!B40)</f>
        <v>DA ARR 3M</v>
      </c>
      <c r="B27" s="15">
        <f>'Fill white Cells '!C40</f>
        <v>0</v>
      </c>
      <c r="C27" s="15"/>
      <c r="D27" s="15">
        <f>'Fill white Cells '!E40</f>
        <v>0</v>
      </c>
      <c r="E27" s="15">
        <f>'Fill white Cells '!F40</f>
        <v>0</v>
      </c>
      <c r="F27" s="15">
        <f>'Fill white Cells '!G40</f>
        <v>0</v>
      </c>
      <c r="G27" s="15">
        <f>'Fill white Cells '!H40</f>
        <v>0</v>
      </c>
      <c r="H27" s="15"/>
      <c r="I27" s="15">
        <f>'Fill white Cells '!I40</f>
        <v>0</v>
      </c>
      <c r="J27" s="166">
        <f>SUM(B27:I27)</f>
        <v>0</v>
      </c>
      <c r="K27" s="15" t="str">
        <f>IF('Fill white Cells '!$E$11=1, 'Fill white Cells '!K40," ")</f>
        <v xml:space="preserve"> </v>
      </c>
      <c r="L27" s="15"/>
      <c r="M27" s="15"/>
      <c r="N27" s="15"/>
      <c r="O27" s="15"/>
      <c r="P27" s="15"/>
      <c r="Q27" s="15">
        <f>'Fill white Cells '!J40</f>
        <v>0</v>
      </c>
      <c r="R27" s="15">
        <f t="shared" si="15"/>
        <v>0</v>
      </c>
      <c r="S27" s="169">
        <f>SUM(K27:R27)</f>
        <v>0</v>
      </c>
      <c r="T27" s="169"/>
      <c r="U27" s="170"/>
      <c r="V27" s="126"/>
      <c r="W27" s="92"/>
      <c r="AA27" s="82"/>
      <c r="AB27" s="82"/>
      <c r="AC27" s="80"/>
      <c r="AD27" s="80"/>
      <c r="AE27" s="80"/>
      <c r="AF27" s="80"/>
      <c r="AG27" s="80"/>
      <c r="AH27" s="80"/>
      <c r="AI27" s="101"/>
      <c r="AJ27" s="271"/>
      <c r="AK27" s="12"/>
      <c r="AL27" s="12"/>
      <c r="AM27" s="271"/>
      <c r="AN27" s="271"/>
      <c r="AO27" s="271"/>
      <c r="AP27" s="101"/>
      <c r="AQ27" s="101"/>
      <c r="AR27" s="101"/>
      <c r="AS27" s="101"/>
      <c r="AT27" s="101"/>
      <c r="AU27" s="101"/>
      <c r="AV27" s="101"/>
      <c r="AW27" s="101"/>
      <c r="AX27" s="101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</row>
    <row r="28" spans="1:65" s="81" customFormat="1" ht="20.25" customHeight="1">
      <c r="A28" s="293" t="str">
        <f>IF('Fill white Cells '!B41="","Arrear-III",'Fill white Cells '!B41)</f>
        <v>Arrear-III</v>
      </c>
      <c r="B28" s="15">
        <f>'Fill white Cells '!C41</f>
        <v>0</v>
      </c>
      <c r="C28" s="15"/>
      <c r="D28" s="15">
        <f>'Fill white Cells '!E41</f>
        <v>0</v>
      </c>
      <c r="E28" s="15">
        <f>'Fill white Cells '!F41</f>
        <v>0</v>
      </c>
      <c r="F28" s="15">
        <f>'Fill white Cells '!G41</f>
        <v>0</v>
      </c>
      <c r="G28" s="15">
        <f>'Fill white Cells '!H41</f>
        <v>0</v>
      </c>
      <c r="H28" s="15"/>
      <c r="I28" s="15">
        <f>'Fill white Cells '!I41</f>
        <v>0</v>
      </c>
      <c r="J28" s="166">
        <f>SUM(B28:I28)</f>
        <v>0</v>
      </c>
      <c r="K28" s="15" t="str">
        <f>IF('Fill white Cells '!$E$11=1, 'Fill white Cells '!K41," ")</f>
        <v xml:space="preserve"> </v>
      </c>
      <c r="L28" s="15"/>
      <c r="M28" s="15"/>
      <c r="N28" s="15"/>
      <c r="O28" s="15"/>
      <c r="P28" s="15"/>
      <c r="Q28" s="15">
        <f>'Fill white Cells '!J41</f>
        <v>0</v>
      </c>
      <c r="R28" s="15">
        <f t="shared" si="15"/>
        <v>0</v>
      </c>
      <c r="S28" s="169">
        <f>SUM(K28:R28)</f>
        <v>0</v>
      </c>
      <c r="T28" s="169"/>
      <c r="U28" s="170"/>
      <c r="V28" s="126"/>
      <c r="W28" s="92"/>
      <c r="AA28" s="82"/>
      <c r="AB28" s="82"/>
      <c r="AC28" s="80"/>
      <c r="AD28" s="80"/>
      <c r="AE28" s="80"/>
      <c r="AF28" s="80"/>
      <c r="AG28" s="80"/>
      <c r="AH28" s="80"/>
      <c r="AI28" s="101"/>
      <c r="AJ28" s="271"/>
      <c r="AK28" s="12"/>
      <c r="AL28" s="12"/>
      <c r="AM28" s="271"/>
      <c r="AN28" s="271"/>
      <c r="AO28" s="271"/>
      <c r="AP28" s="101"/>
      <c r="AQ28" s="101"/>
      <c r="AR28" s="101"/>
      <c r="AS28" s="101"/>
      <c r="AT28" s="101"/>
      <c r="AU28" s="101"/>
      <c r="AV28" s="101"/>
      <c r="AW28" s="101"/>
      <c r="AX28" s="101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</row>
    <row r="29" spans="1:65" s="81" customFormat="1" ht="20.25" customHeight="1">
      <c r="A29" s="293" t="str">
        <f>IF('Fill white Cells '!B42="","Arrear-IV",'Fill white Cells '!B42)</f>
        <v>Arrear-IV</v>
      </c>
      <c r="B29" s="15">
        <f>'Fill white Cells '!C42</f>
        <v>0</v>
      </c>
      <c r="C29" s="15">
        <f>'Fill white Cells '!D42</f>
        <v>0</v>
      </c>
      <c r="D29" s="15">
        <f>'Fill white Cells '!E42</f>
        <v>0</v>
      </c>
      <c r="E29" s="15">
        <f>'Fill white Cells '!F42</f>
        <v>0</v>
      </c>
      <c r="F29" s="15">
        <f>'Fill white Cells '!G42</f>
        <v>0</v>
      </c>
      <c r="G29" s="15">
        <f>'Fill white Cells '!H42</f>
        <v>0</v>
      </c>
      <c r="H29" s="15"/>
      <c r="I29" s="15">
        <f>'Fill white Cells '!I42</f>
        <v>0</v>
      </c>
      <c r="J29" s="166">
        <f>SUM(B29:I29)</f>
        <v>0</v>
      </c>
      <c r="K29" s="15" t="str">
        <f>IF('Fill white Cells '!$E$11=1, 'Fill white Cells '!K42," ")</f>
        <v xml:space="preserve"> </v>
      </c>
      <c r="L29" s="15"/>
      <c r="M29" s="15"/>
      <c r="N29" s="15"/>
      <c r="O29" s="15"/>
      <c r="P29" s="15"/>
      <c r="Q29" s="15">
        <f>'Fill white Cells '!J42</f>
        <v>0</v>
      </c>
      <c r="R29" s="15">
        <f t="shared" si="15"/>
        <v>0</v>
      </c>
      <c r="S29" s="169">
        <f>SUM(K29:R29)</f>
        <v>0</v>
      </c>
      <c r="T29" s="169"/>
      <c r="U29" s="170"/>
      <c r="V29" s="126"/>
      <c r="W29" s="93"/>
      <c r="AA29" s="94">
        <f>IF('Fill white Cells '!E10=1,ROUND(((B20-B18)/31)*W29,0),IF('Fill white Cells '!E10=4,ROUND(((B11-B9)/30)*W29,0),IF('Fill white Cells '!E10=7,ROUND(((B14-B12)/31)*W29,0),IF('Fill white Cells '!E10=10,ROUND(((B17-B15)/31)*W29,0),0))))</f>
        <v>0</v>
      </c>
      <c r="AB29" s="94"/>
      <c r="AC29" s="95"/>
      <c r="AD29" s="95"/>
      <c r="AE29" s="95"/>
      <c r="AF29" s="95"/>
      <c r="AG29" s="95"/>
      <c r="AH29" s="95"/>
      <c r="AI29" s="275"/>
      <c r="AJ29" s="275"/>
      <c r="AK29" s="12"/>
      <c r="AL29" s="12"/>
      <c r="AM29" s="275"/>
      <c r="AN29" s="275"/>
      <c r="AO29" s="275"/>
      <c r="AP29" s="275"/>
      <c r="AQ29" s="275"/>
      <c r="AR29" s="275"/>
      <c r="AS29" s="275"/>
      <c r="AT29" s="275"/>
      <c r="AU29" s="275"/>
      <c r="AV29" s="275"/>
      <c r="AW29" s="275"/>
      <c r="AX29" s="275"/>
      <c r="AY29" s="95"/>
      <c r="AZ29" s="95"/>
      <c r="BA29" s="95"/>
      <c r="BB29" s="95"/>
      <c r="BC29" s="95"/>
      <c r="BD29" s="95">
        <f>IF('Fill white Cells '!E10=1,ROUND(AA29*0.17,0),IF('Fill white Cells '!E10=4,ROUND(AA29*0.09,0),IF('Fill white Cells '!E10=7,ROUND(AA29*0.12,0),IF('Fill white Cells '!E10=10,ROUND(AA29*0.17,0),0))))</f>
        <v>0</v>
      </c>
      <c r="BE29" s="80"/>
      <c r="BF29" s="80"/>
      <c r="BG29" s="80"/>
      <c r="BH29" s="80"/>
      <c r="BI29" s="80"/>
      <c r="BJ29" s="80"/>
      <c r="BK29" s="80"/>
      <c r="BL29" s="80"/>
      <c r="BM29" s="80"/>
    </row>
    <row r="30" spans="1:65" s="97" customFormat="1" ht="20.25" customHeight="1" thickBot="1">
      <c r="A30" s="96" t="s">
        <v>233</v>
      </c>
      <c r="B30" s="173">
        <f>SUM(B21:B29)</f>
        <v>0</v>
      </c>
      <c r="C30" s="173">
        <f t="shared" ref="C30:I30" si="16">SUM(C21:C29)</f>
        <v>0</v>
      </c>
      <c r="D30" s="173">
        <f t="shared" si="16"/>
        <v>0</v>
      </c>
      <c r="E30" s="173">
        <f t="shared" si="16"/>
        <v>0</v>
      </c>
      <c r="F30" s="173">
        <f t="shared" si="16"/>
        <v>0</v>
      </c>
      <c r="G30" s="173">
        <f t="shared" si="16"/>
        <v>0</v>
      </c>
      <c r="H30" s="173">
        <f t="shared" si="16"/>
        <v>0</v>
      </c>
      <c r="I30" s="173">
        <f t="shared" si="16"/>
        <v>0</v>
      </c>
      <c r="J30" s="173">
        <f>SUM(J21:J29)</f>
        <v>0</v>
      </c>
      <c r="K30" s="173">
        <f t="shared" ref="K30:R30" si="17">SUM(K21:K29)</f>
        <v>0</v>
      </c>
      <c r="L30" s="173">
        <f t="shared" si="17"/>
        <v>0</v>
      </c>
      <c r="M30" s="173">
        <f t="shared" si="17"/>
        <v>0</v>
      </c>
      <c r="N30" s="173">
        <f t="shared" si="17"/>
        <v>0</v>
      </c>
      <c r="O30" s="173">
        <f t="shared" si="17"/>
        <v>0</v>
      </c>
      <c r="P30" s="173">
        <f t="shared" si="17"/>
        <v>0</v>
      </c>
      <c r="Q30" s="173">
        <f t="shared" si="17"/>
        <v>0</v>
      </c>
      <c r="R30" s="173">
        <f t="shared" si="17"/>
        <v>0</v>
      </c>
      <c r="S30" s="173">
        <f>SUM(S21:S29)</f>
        <v>0</v>
      </c>
      <c r="T30" s="174" t="e">
        <f>SUM(#REF!)</f>
        <v>#REF!</v>
      </c>
      <c r="U30" s="173">
        <f>SUM(U21:U29)</f>
        <v>0</v>
      </c>
      <c r="V30" s="127"/>
      <c r="AA30" s="98"/>
      <c r="AB30" s="98"/>
      <c r="AC30" s="99"/>
      <c r="AD30" s="99"/>
      <c r="AE30" s="99">
        <f>SUM(Q9:Q19)</f>
        <v>0</v>
      </c>
      <c r="AF30" s="99"/>
      <c r="AG30" s="99"/>
      <c r="AH30" s="99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</row>
    <row r="31" spans="1:65" s="81" customFormat="1" ht="15.75" hidden="1">
      <c r="T31" s="100" t="e">
        <f>SUM(T21:T30)</f>
        <v>#REF!</v>
      </c>
      <c r="AC31" s="101"/>
      <c r="AD31" s="101"/>
      <c r="AE31" s="101"/>
      <c r="AF31" s="101"/>
      <c r="AG31" s="101"/>
      <c r="AH31" s="101"/>
      <c r="AI31" s="101"/>
      <c r="AJ31" s="101"/>
      <c r="AK31" s="12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</row>
    <row r="32" spans="1:65" s="81" customFormat="1" ht="15.75" hidden="1">
      <c r="AC32" s="101"/>
      <c r="AD32" s="101"/>
      <c r="AE32" s="101"/>
      <c r="AF32" s="101"/>
      <c r="AG32" s="101"/>
      <c r="AH32" s="101"/>
      <c r="AI32" s="101"/>
      <c r="AJ32" s="101"/>
      <c r="AK32" s="12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</row>
    <row r="33" spans="1:65" s="81" customFormat="1" ht="15.75" hidden="1"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</row>
    <row r="34" spans="1:65" s="2" customFormat="1" hidden="1">
      <c r="T34" s="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</row>
    <row r="35" spans="1:65" s="2" customFormat="1" hidden="1">
      <c r="E35" s="4">
        <f>'Fill white Cells '!C55</f>
        <v>0</v>
      </c>
      <c r="F35" s="4">
        <f>IF('Fill white Cells '!C55&gt;0, 'Fill white Cells '!C56, 0)</f>
        <v>0</v>
      </c>
      <c r="G35" s="4">
        <f>F35</f>
        <v>0</v>
      </c>
      <c r="H35" s="4">
        <f>G35</f>
        <v>0</v>
      </c>
      <c r="I35" s="4">
        <f>H35</f>
        <v>0</v>
      </c>
      <c r="J35" s="4">
        <f>I35</f>
        <v>0</v>
      </c>
      <c r="K35" s="4"/>
      <c r="L35" s="2">
        <f>IF(AND('Fill white Cells '!C56&gt;2, I35&lt;6), (B24*0.03), IF(AND('Fill white Cells '!C56&lt;3,'Fill white Cells '!C57=1, 'Fill white Cells '!C60=30, I35&lt;6),(B9*0.03), IF(AND('Fill white Cells '!C56&lt;3,'Fill white Cells '!C57=1, 'Fill white Cells '!C60=15, I35&lt;6),(B9*0.03)/2, 0)))</f>
        <v>0</v>
      </c>
      <c r="M35" s="2">
        <f>IF(I35=7,(B24*0.05),IF(I35=8,(B24*0.05),IF(I35=9,(B24*0.05),0)))</f>
        <v>0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</row>
    <row r="36" spans="1:65" s="2" customFormat="1" hidden="1">
      <c r="E36" s="4"/>
      <c r="F36" s="4">
        <f>IF(F35=9,B15,IF(F35=10,B16,IF(F35=11,B17,IF(F35=8,B14,IF(F35=12,B18,0)))))</f>
        <v>0</v>
      </c>
      <c r="G36" s="4">
        <f>IF(G35=9,C15,IF(G35=10,C16,IF(G35=11,C17,IF(G35=8,C14,IF(G35=12,C18,0)))))</f>
        <v>0</v>
      </c>
      <c r="H36" s="4">
        <f>IF(H35=9,D15,IF(H35=10,D16,IF(H35=11,D17,IF(H35=8,D14,IF(H35=12,D18,0)))))</f>
        <v>0</v>
      </c>
      <c r="I36" s="4">
        <f>IF(I35=9,E15,IF(I35=10,E16,IF(I35=11,E17,IF(I35=8,E14,IF(I35=12,E18,0)))))</f>
        <v>0</v>
      </c>
      <c r="J36" s="4">
        <f>IF(J35=9,F15,IF(J35=10,F16,IF(J35=11,F17,IF(J35=8,F14,IF(J35=12,F18,0)))))</f>
        <v>0</v>
      </c>
      <c r="K36" s="4"/>
      <c r="L36" s="2">
        <f>E22-L35</f>
        <v>0</v>
      </c>
      <c r="M36" s="2">
        <f>E23-M35</f>
        <v>0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</row>
    <row r="37" spans="1:65" s="2" customFormat="1" hidden="1">
      <c r="E37" s="4"/>
      <c r="F37" s="7">
        <f>IF(F35=1,B20,IF(F35=2,B20,IF(F35=3,B9,IF(F35=4,B10,IF(F35=5,B11,IF(F35=6,B12,IF(F35=7,B13,0)))))))</f>
        <v>0</v>
      </c>
      <c r="G37" s="7">
        <f>IF(G35=1,C18,IF(G35=2,C19,IF(G35=3,C9,IF(G35=4,C9,IF(G35=5,C10,IF(G35=6,C11,IF(G35=7,C12,0)))))))</f>
        <v>0</v>
      </c>
      <c r="H37" s="7">
        <f>IF(H35=1,D20,IF(H35=2,D20,IF(H35=3,D9,IF(H35=4,D9,IF(H35=5,D10,IF(H35=6,D11,IF(H35=7,D12,0)))))))</f>
        <v>0</v>
      </c>
      <c r="I37" s="7">
        <f>IF(I35=1,E20,IF(I35=2,E20,IF(I35=3,E9,IF(I35=4,E10,IF(I35=5,E11,IF(I35=6,E12,IF(I35=7,E13,0)))))))</f>
        <v>0</v>
      </c>
      <c r="J37" s="4">
        <f>IF(J35=1,F20,IF(J35=2,F20,IF(J35=3,F9,IF(J35=4,F10,IF(J35=5,F11,IF(J35=6,F12,IF(J35=7,F13,0)))))))</f>
        <v>0</v>
      </c>
      <c r="K37" s="4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</row>
    <row r="38" spans="1:65" s="2" customFormat="1" ht="6.75" hidden="1" customHeight="1">
      <c r="A38" s="5"/>
      <c r="B38" s="5"/>
      <c r="C38" s="5"/>
      <c r="D38" s="5"/>
      <c r="E38" s="5"/>
      <c r="J38" s="5"/>
      <c r="K38" s="5"/>
      <c r="L38" s="5"/>
      <c r="M38" s="5"/>
      <c r="N38" s="5"/>
      <c r="O38" s="5"/>
      <c r="P38" s="5"/>
      <c r="Q38" s="5"/>
      <c r="R38" s="5"/>
      <c r="S38" s="5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</row>
    <row r="39" spans="1:65" s="2" customFormat="1" ht="10.5" hidden="1" customHeight="1">
      <c r="A39" s="960"/>
      <c r="B39" s="960"/>
      <c r="C39" s="960"/>
      <c r="D39" s="960"/>
      <c r="E39" s="960"/>
      <c r="F39" s="960"/>
      <c r="G39" s="960"/>
      <c r="H39" s="960"/>
      <c r="I39" s="960"/>
      <c r="J39" s="960"/>
      <c r="K39" s="960"/>
      <c r="L39" s="102"/>
      <c r="M39" s="960"/>
      <c r="N39" s="960"/>
      <c r="O39" s="960"/>
      <c r="P39" s="960"/>
      <c r="Q39" s="960"/>
      <c r="R39" s="960"/>
      <c r="S39" s="960"/>
      <c r="T39" s="960"/>
      <c r="U39" s="960"/>
      <c r="V39" s="481"/>
      <c r="Y39" s="2">
        <f>E41+E42+E43+E46+E45+E47+E48+E49+E50+E53+K41+K42+K43+K45+K46+K47+K48+K49+K50+K53</f>
        <v>0</v>
      </c>
      <c r="Z39" s="2" t="s">
        <v>235</v>
      </c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</row>
    <row r="40" spans="1:65" s="2" customFormat="1" ht="10.5" hidden="1" customHeight="1">
      <c r="A40" s="459"/>
      <c r="B40" s="759"/>
      <c r="C40" s="759"/>
      <c r="D40" s="759"/>
      <c r="E40" s="759"/>
      <c r="F40" s="759"/>
      <c r="G40" s="105"/>
      <c r="H40" s="128"/>
      <c r="I40" s="759"/>
      <c r="J40" s="759"/>
      <c r="K40" s="128"/>
      <c r="L40" s="105"/>
      <c r="M40" s="759"/>
      <c r="N40" s="759"/>
      <c r="O40" s="759"/>
      <c r="P40" s="749"/>
      <c r="Q40" s="749"/>
      <c r="R40" s="749"/>
      <c r="S40" s="749"/>
      <c r="T40" s="749"/>
      <c r="U40" s="749"/>
      <c r="V40" s="458"/>
      <c r="Y40" s="2">
        <f>S41+S42+S43+S45</f>
        <v>0</v>
      </c>
      <c r="Z40" s="2" t="s">
        <v>238</v>
      </c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</row>
    <row r="41" spans="1:65" ht="10.5" hidden="1" customHeight="1">
      <c r="B41" s="959"/>
      <c r="C41" s="959"/>
      <c r="D41" s="959"/>
      <c r="E41" s="959"/>
      <c r="F41" s="959"/>
      <c r="I41" s="959"/>
      <c r="J41" s="959"/>
      <c r="K41" s="105"/>
      <c r="L41" s="105"/>
      <c r="M41" s="959"/>
      <c r="N41" s="959"/>
      <c r="O41" s="959"/>
      <c r="P41" s="959"/>
      <c r="Q41" s="959"/>
      <c r="R41" s="959"/>
      <c r="S41" s="959"/>
      <c r="T41" s="959"/>
      <c r="U41" s="959"/>
      <c r="V41" s="480"/>
      <c r="Y41" s="54">
        <f>S49+S50+S53</f>
        <v>0</v>
      </c>
      <c r="Z41" s="54" t="s">
        <v>239</v>
      </c>
      <c r="AA41" s="54"/>
      <c r="AB41" s="54"/>
      <c r="AC41" s="107"/>
      <c r="AD41" s="107"/>
      <c r="AE41" s="107"/>
      <c r="AF41" s="107"/>
      <c r="AG41" s="107"/>
      <c r="AH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</row>
    <row r="42" spans="1:65" ht="10.5" hidden="1" customHeight="1">
      <c r="B42" s="959"/>
      <c r="C42" s="959"/>
      <c r="D42" s="959"/>
      <c r="E42" s="959"/>
      <c r="F42" s="959"/>
      <c r="I42" s="959"/>
      <c r="J42" s="959"/>
      <c r="K42" s="105"/>
      <c r="L42" s="105"/>
      <c r="M42" s="959"/>
      <c r="N42" s="959"/>
      <c r="O42" s="959"/>
      <c r="P42" s="959"/>
      <c r="Q42" s="959"/>
      <c r="R42" s="959"/>
      <c r="S42" s="959"/>
      <c r="T42" s="959"/>
      <c r="U42" s="959"/>
      <c r="V42" s="480"/>
      <c r="Y42" s="54">
        <f>K57+K58</f>
        <v>0</v>
      </c>
      <c r="Z42" s="54" t="s">
        <v>240</v>
      </c>
      <c r="AA42" s="54"/>
      <c r="AB42" s="54"/>
      <c r="AC42" s="107"/>
      <c r="AD42" s="107"/>
      <c r="AE42" s="107"/>
      <c r="AF42" s="107"/>
      <c r="AG42" s="107"/>
      <c r="AH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</row>
    <row r="43" spans="1:65" ht="10.5" hidden="1" customHeight="1">
      <c r="B43" s="959"/>
      <c r="C43" s="959"/>
      <c r="D43" s="959"/>
      <c r="E43" s="959"/>
      <c r="F43" s="959"/>
      <c r="I43" s="959"/>
      <c r="J43" s="959"/>
      <c r="K43" s="105"/>
      <c r="L43" s="105"/>
      <c r="M43" s="959"/>
      <c r="N43" s="959"/>
      <c r="O43" s="959"/>
      <c r="P43" s="959"/>
      <c r="Q43" s="959"/>
      <c r="R43" s="959"/>
      <c r="S43" s="959"/>
      <c r="T43" s="959"/>
      <c r="U43" s="959"/>
      <c r="V43" s="480"/>
      <c r="AA43" s="54"/>
      <c r="AB43" s="54"/>
      <c r="AC43" s="107"/>
      <c r="AD43" s="107"/>
      <c r="AE43" s="107"/>
      <c r="AF43" s="107"/>
      <c r="AG43" s="107"/>
      <c r="AH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</row>
    <row r="44" spans="1:65" ht="10.5" hidden="1" customHeight="1">
      <c r="B44" s="959"/>
      <c r="C44" s="959"/>
      <c r="D44" s="959"/>
      <c r="E44" s="959"/>
      <c r="F44" s="959"/>
      <c r="I44" s="959"/>
      <c r="J44" s="959"/>
      <c r="K44" s="105"/>
      <c r="L44" s="105"/>
      <c r="M44" s="959"/>
      <c r="N44" s="959"/>
      <c r="O44" s="959"/>
      <c r="P44" s="959"/>
      <c r="Q44" s="959"/>
      <c r="R44" s="959"/>
      <c r="S44" s="959"/>
      <c r="T44" s="959"/>
      <c r="U44" s="959"/>
      <c r="V44" s="480"/>
      <c r="AA44" s="54"/>
      <c r="AB44" s="54"/>
      <c r="AC44" s="107"/>
      <c r="AD44" s="107"/>
      <c r="AE44" s="107"/>
      <c r="AF44" s="107"/>
      <c r="AG44" s="107"/>
      <c r="AH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</row>
    <row r="45" spans="1:65" ht="10.5" hidden="1" customHeight="1">
      <c r="B45" s="959"/>
      <c r="C45" s="959"/>
      <c r="D45" s="959"/>
      <c r="E45" s="959"/>
      <c r="F45" s="959"/>
      <c r="I45" s="959"/>
      <c r="J45" s="959"/>
      <c r="K45" s="105"/>
      <c r="L45" s="105"/>
      <c r="M45" s="959"/>
      <c r="N45" s="959"/>
      <c r="O45" s="959"/>
      <c r="P45" s="959"/>
      <c r="Q45" s="959"/>
      <c r="R45" s="959"/>
      <c r="S45" s="959"/>
      <c r="T45" s="959"/>
      <c r="U45" s="959"/>
      <c r="V45" s="480"/>
      <c r="AA45" s="54"/>
      <c r="AB45" s="54"/>
      <c r="AC45" s="107"/>
      <c r="AD45" s="107"/>
      <c r="AE45" s="107"/>
      <c r="AF45" s="107"/>
      <c r="AG45" s="107"/>
      <c r="AH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</row>
    <row r="46" spans="1:65" ht="10.5" hidden="1" customHeight="1">
      <c r="B46" s="959"/>
      <c r="C46" s="959"/>
      <c r="D46" s="959"/>
      <c r="E46" s="959"/>
      <c r="F46" s="959"/>
      <c r="I46" s="959"/>
      <c r="J46" s="959"/>
      <c r="AA46" s="54"/>
      <c r="AB46" s="54"/>
      <c r="AC46" s="107"/>
      <c r="AD46" s="107"/>
      <c r="AE46" s="107"/>
      <c r="AF46" s="107"/>
      <c r="AG46" s="107"/>
      <c r="AH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</row>
    <row r="47" spans="1:65" ht="10.5" hidden="1" customHeight="1">
      <c r="B47" s="959"/>
      <c r="C47" s="959"/>
      <c r="D47" s="959"/>
      <c r="E47" s="959"/>
      <c r="F47" s="959"/>
      <c r="I47" s="959"/>
      <c r="J47" s="959"/>
      <c r="M47" s="759"/>
      <c r="N47" s="759"/>
      <c r="O47" s="759"/>
      <c r="P47" s="749"/>
      <c r="Q47" s="749"/>
      <c r="R47" s="749"/>
      <c r="S47" s="759"/>
      <c r="T47" s="759"/>
      <c r="U47" s="759"/>
      <c r="V47" s="459"/>
      <c r="AA47" s="54"/>
      <c r="AB47" s="54"/>
      <c r="AC47" s="107"/>
      <c r="AD47" s="107"/>
      <c r="AE47" s="107"/>
      <c r="AF47" s="107"/>
      <c r="AG47" s="107"/>
      <c r="AH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</row>
    <row r="48" spans="1:65" ht="10.5" hidden="1" customHeight="1">
      <c r="B48" s="959"/>
      <c r="C48" s="959"/>
      <c r="D48" s="959"/>
      <c r="E48" s="959"/>
      <c r="F48" s="959"/>
      <c r="I48" s="959"/>
      <c r="J48" s="959"/>
      <c r="M48" s="759"/>
      <c r="N48" s="759"/>
      <c r="O48" s="759"/>
      <c r="P48" s="749"/>
      <c r="Q48" s="749"/>
      <c r="R48" s="749"/>
      <c r="S48" s="759"/>
      <c r="T48" s="759"/>
      <c r="U48" s="759"/>
      <c r="V48" s="459"/>
      <c r="AA48" s="54"/>
      <c r="AB48" s="54"/>
      <c r="AC48" s="107"/>
      <c r="AD48" s="107"/>
      <c r="AE48" s="107"/>
      <c r="AF48" s="107"/>
      <c r="AG48" s="107"/>
      <c r="AH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</row>
    <row r="49" spans="1:65" ht="10.5" hidden="1" customHeight="1">
      <c r="B49" s="959"/>
      <c r="C49" s="959"/>
      <c r="D49" s="959"/>
      <c r="E49" s="959"/>
      <c r="F49" s="959"/>
      <c r="I49" s="959"/>
      <c r="J49" s="959"/>
      <c r="M49" s="959"/>
      <c r="N49" s="959"/>
      <c r="O49" s="959"/>
      <c r="P49" s="959"/>
      <c r="Q49" s="959"/>
      <c r="R49" s="959"/>
      <c r="S49" s="959"/>
      <c r="T49" s="959"/>
      <c r="U49" s="959"/>
      <c r="V49" s="480"/>
      <c r="AA49" s="54"/>
      <c r="AB49" s="54"/>
      <c r="AC49" s="107"/>
      <c r="AD49" s="107"/>
      <c r="AE49" s="107"/>
      <c r="AF49" s="107"/>
      <c r="AG49" s="107"/>
      <c r="AH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</row>
    <row r="50" spans="1:65" ht="10.5" hidden="1" customHeight="1">
      <c r="B50" s="959"/>
      <c r="C50" s="959"/>
      <c r="D50" s="959"/>
      <c r="E50" s="959"/>
      <c r="F50" s="959"/>
      <c r="I50" s="959"/>
      <c r="J50" s="959"/>
      <c r="M50" s="959"/>
      <c r="N50" s="959"/>
      <c r="O50" s="959"/>
      <c r="P50" s="959"/>
      <c r="Q50" s="959"/>
      <c r="R50" s="959"/>
      <c r="S50" s="959"/>
      <c r="T50" s="959"/>
      <c r="U50" s="959"/>
      <c r="V50" s="480"/>
      <c r="AA50" s="54"/>
      <c r="AB50" s="54"/>
      <c r="AC50" s="107"/>
      <c r="AD50" s="107"/>
      <c r="AE50" s="107"/>
      <c r="AF50" s="107"/>
      <c r="AG50" s="107"/>
      <c r="AH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</row>
    <row r="51" spans="1:65" ht="10.5" hidden="1" customHeight="1">
      <c r="B51" s="959"/>
      <c r="C51" s="959"/>
      <c r="D51" s="959"/>
      <c r="E51" s="959"/>
      <c r="F51" s="959"/>
      <c r="I51" s="959"/>
      <c r="J51" s="959"/>
      <c r="M51" s="959"/>
      <c r="N51" s="959"/>
      <c r="O51" s="959"/>
      <c r="P51" s="959"/>
      <c r="Q51" s="959"/>
      <c r="R51" s="959"/>
      <c r="S51" s="959"/>
      <c r="T51" s="959"/>
      <c r="U51" s="959"/>
      <c r="V51" s="480"/>
      <c r="AA51" s="54"/>
      <c r="AB51" s="54"/>
      <c r="AC51" s="107"/>
      <c r="AD51" s="107"/>
      <c r="AE51" s="107"/>
      <c r="AF51" s="107"/>
      <c r="AG51" s="107"/>
      <c r="AH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</row>
    <row r="52" spans="1:65" ht="10.5" hidden="1" customHeight="1">
      <c r="B52" s="959"/>
      <c r="C52" s="959"/>
      <c r="D52" s="959"/>
      <c r="E52" s="959"/>
      <c r="F52" s="959"/>
      <c r="I52" s="959"/>
      <c r="J52" s="959"/>
      <c r="M52" s="959"/>
      <c r="N52" s="959"/>
      <c r="O52" s="959"/>
      <c r="P52" s="959"/>
      <c r="Q52" s="959"/>
      <c r="R52" s="959"/>
      <c r="S52" s="959"/>
      <c r="T52" s="959"/>
      <c r="U52" s="959"/>
      <c r="V52" s="480"/>
      <c r="AA52" s="54"/>
      <c r="AB52" s="54"/>
      <c r="AC52" s="107"/>
      <c r="AD52" s="107"/>
      <c r="AE52" s="107"/>
      <c r="AF52" s="107"/>
      <c r="AG52" s="107"/>
      <c r="AH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</row>
    <row r="53" spans="1:65" ht="10.5" hidden="1" customHeight="1">
      <c r="B53" s="959"/>
      <c r="C53" s="959"/>
      <c r="D53" s="959"/>
      <c r="E53" s="959"/>
      <c r="F53" s="959"/>
      <c r="I53" s="959"/>
      <c r="J53" s="959"/>
      <c r="M53" s="959"/>
      <c r="N53" s="959"/>
      <c r="O53" s="959"/>
      <c r="P53" s="959"/>
      <c r="Q53" s="959"/>
      <c r="R53" s="959"/>
      <c r="S53" s="959"/>
      <c r="T53" s="959"/>
      <c r="U53" s="959"/>
      <c r="V53" s="480"/>
      <c r="AA53" s="54"/>
      <c r="AB53" s="54"/>
      <c r="AC53" s="107"/>
      <c r="AD53" s="107"/>
      <c r="AE53" s="107"/>
      <c r="AF53" s="107"/>
      <c r="AG53" s="107"/>
      <c r="AH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</row>
    <row r="54" spans="1:65" ht="10.5" hidden="1" customHeight="1">
      <c r="AA54" s="54"/>
      <c r="AB54" s="54"/>
      <c r="AC54" s="107"/>
      <c r="AD54" s="107"/>
      <c r="AE54" s="107"/>
      <c r="AF54" s="107"/>
      <c r="AG54" s="107"/>
      <c r="AH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</row>
    <row r="55" spans="1:65" ht="15.75" hidden="1">
      <c r="A55" s="960"/>
      <c r="B55" s="960"/>
      <c r="C55" s="960"/>
      <c r="D55" s="960"/>
      <c r="E55" s="960"/>
      <c r="F55" s="960"/>
      <c r="G55" s="960"/>
      <c r="H55" s="960"/>
      <c r="I55" s="960"/>
      <c r="J55" s="960"/>
      <c r="K55" s="960"/>
      <c r="L55" s="960"/>
      <c r="AA55" s="54"/>
      <c r="AB55" s="54"/>
      <c r="AC55" s="107"/>
      <c r="AD55" s="107"/>
      <c r="AE55" s="107"/>
      <c r="AF55" s="107"/>
      <c r="AG55" s="107"/>
      <c r="AH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</row>
    <row r="56" spans="1:65" ht="10.5" hidden="1" customHeight="1">
      <c r="A56" s="749"/>
      <c r="B56" s="749"/>
      <c r="C56" s="749"/>
      <c r="D56" s="759"/>
      <c r="E56" s="759"/>
      <c r="F56" s="759"/>
      <c r="G56" s="759"/>
      <c r="H56" s="962"/>
      <c r="I56" s="962"/>
      <c r="J56" s="482"/>
      <c r="K56" s="962"/>
      <c r="L56" s="962"/>
    </row>
    <row r="57" spans="1:65" hidden="1">
      <c r="A57" s="749"/>
      <c r="B57" s="749"/>
      <c r="C57" s="749"/>
      <c r="D57" s="961"/>
      <c r="E57" s="961"/>
      <c r="F57" s="961"/>
      <c r="G57" s="961"/>
      <c r="H57" s="959"/>
      <c r="I57" s="959"/>
      <c r="K57" s="749"/>
      <c r="L57" s="749"/>
    </row>
    <row r="58" spans="1:65">
      <c r="A58" s="749"/>
      <c r="B58" s="749"/>
      <c r="C58" s="749"/>
      <c r="D58" s="961"/>
      <c r="E58" s="961"/>
      <c r="F58" s="961"/>
      <c r="G58" s="961"/>
      <c r="H58" s="959"/>
      <c r="I58" s="959"/>
      <c r="K58" s="749"/>
      <c r="L58" s="749"/>
    </row>
    <row r="59" spans="1:65" ht="15.75">
      <c r="A59" s="721"/>
      <c r="B59" s="721"/>
      <c r="C59" s="721"/>
      <c r="D59" s="721"/>
      <c r="Q59" s="724"/>
      <c r="R59" s="724"/>
      <c r="S59" s="724"/>
      <c r="T59" s="724"/>
      <c r="U59" s="724"/>
      <c r="V59" s="456"/>
    </row>
    <row r="60" spans="1:65"/>
    <row r="61" spans="1:65" ht="15.75">
      <c r="A61" s="721" t="s">
        <v>201</v>
      </c>
      <c r="B61" s="721"/>
      <c r="C61" s="721"/>
      <c r="D61" s="721"/>
      <c r="Q61" s="724" t="s">
        <v>243</v>
      </c>
      <c r="R61" s="724"/>
      <c r="S61" s="724"/>
      <c r="T61" s="724"/>
      <c r="U61" s="724"/>
      <c r="V61" s="456"/>
    </row>
    <row r="62" spans="1:65"/>
  </sheetData>
  <sheetProtection password="DD74" sheet="1" objects="1" scenarios="1" selectLockedCells="1"/>
  <mergeCells count="115">
    <mergeCell ref="A61:D61"/>
    <mergeCell ref="Q61:U61"/>
    <mergeCell ref="A58:C58"/>
    <mergeCell ref="D58:G58"/>
    <mergeCell ref="H58:I58"/>
    <mergeCell ref="K58:L58"/>
    <mergeCell ref="A59:D59"/>
    <mergeCell ref="Q59:U59"/>
    <mergeCell ref="A55:L55"/>
    <mergeCell ref="A56:C56"/>
    <mergeCell ref="D56:G56"/>
    <mergeCell ref="H56:I56"/>
    <mergeCell ref="K56:L56"/>
    <mergeCell ref="A57:C57"/>
    <mergeCell ref="D57:G57"/>
    <mergeCell ref="H57:I57"/>
    <mergeCell ref="K57:L57"/>
    <mergeCell ref="B53:D53"/>
    <mergeCell ref="E53:F53"/>
    <mergeCell ref="I53:J53"/>
    <mergeCell ref="M53:O53"/>
    <mergeCell ref="P53:R53"/>
    <mergeCell ref="S53:U53"/>
    <mergeCell ref="B52:D52"/>
    <mergeCell ref="E52:F52"/>
    <mergeCell ref="I52:J52"/>
    <mergeCell ref="M52:O52"/>
    <mergeCell ref="P52:R52"/>
    <mergeCell ref="S52:U52"/>
    <mergeCell ref="B51:D51"/>
    <mergeCell ref="E51:F51"/>
    <mergeCell ref="I51:J51"/>
    <mergeCell ref="M51:O51"/>
    <mergeCell ref="P51:R51"/>
    <mergeCell ref="S51:U51"/>
    <mergeCell ref="B50:D50"/>
    <mergeCell ref="E50:F50"/>
    <mergeCell ref="I50:J50"/>
    <mergeCell ref="M50:O50"/>
    <mergeCell ref="P50:R50"/>
    <mergeCell ref="S50:U50"/>
    <mergeCell ref="B49:D49"/>
    <mergeCell ref="E49:F49"/>
    <mergeCell ref="I49:J49"/>
    <mergeCell ref="M49:O49"/>
    <mergeCell ref="P49:R49"/>
    <mergeCell ref="S49:U49"/>
    <mergeCell ref="M47:O48"/>
    <mergeCell ref="P47:R48"/>
    <mergeCell ref="S47:U48"/>
    <mergeCell ref="B48:D48"/>
    <mergeCell ref="E48:F48"/>
    <mergeCell ref="I48:J48"/>
    <mergeCell ref="B46:D46"/>
    <mergeCell ref="E46:F46"/>
    <mergeCell ref="I46:J46"/>
    <mergeCell ref="B47:D47"/>
    <mergeCell ref="E47:F47"/>
    <mergeCell ref="I47:J47"/>
    <mergeCell ref="B45:D45"/>
    <mergeCell ref="E45:F45"/>
    <mergeCell ref="I45:J45"/>
    <mergeCell ref="M45:O45"/>
    <mergeCell ref="P45:R45"/>
    <mergeCell ref="S45:U45"/>
    <mergeCell ref="B44:D44"/>
    <mergeCell ref="E44:F44"/>
    <mergeCell ref="I44:J44"/>
    <mergeCell ref="M44:O44"/>
    <mergeCell ref="P44:R44"/>
    <mergeCell ref="S44:U44"/>
    <mergeCell ref="B43:D43"/>
    <mergeCell ref="E43:F43"/>
    <mergeCell ref="I43:J43"/>
    <mergeCell ref="M43:O43"/>
    <mergeCell ref="P43:R43"/>
    <mergeCell ref="S43:U43"/>
    <mergeCell ref="B42:D42"/>
    <mergeCell ref="E42:F42"/>
    <mergeCell ref="I42:J42"/>
    <mergeCell ref="M42:O42"/>
    <mergeCell ref="P42:R42"/>
    <mergeCell ref="S42:U42"/>
    <mergeCell ref="B41:D41"/>
    <mergeCell ref="E41:F41"/>
    <mergeCell ref="I41:J41"/>
    <mergeCell ref="M41:O41"/>
    <mergeCell ref="P41:R41"/>
    <mergeCell ref="S41:U41"/>
    <mergeCell ref="A39:K39"/>
    <mergeCell ref="M39:U39"/>
    <mergeCell ref="B40:D40"/>
    <mergeCell ref="E40:F40"/>
    <mergeCell ref="I40:J40"/>
    <mergeCell ref="M40:O40"/>
    <mergeCell ref="P40:R40"/>
    <mergeCell ref="S40:U40"/>
    <mergeCell ref="A1:U1"/>
    <mergeCell ref="A7:A8"/>
    <mergeCell ref="B7:D7"/>
    <mergeCell ref="E7:I7"/>
    <mergeCell ref="J7:J8"/>
    <mergeCell ref="K7:S7"/>
    <mergeCell ref="U7:U8"/>
    <mergeCell ref="A2:U2"/>
    <mergeCell ref="M3:O3"/>
    <mergeCell ref="R4:U4"/>
    <mergeCell ref="M5:O5"/>
    <mergeCell ref="L6:M6"/>
    <mergeCell ref="N6:Q6"/>
    <mergeCell ref="D4:L4"/>
    <mergeCell ref="D3:L3"/>
    <mergeCell ref="D5:L5"/>
    <mergeCell ref="P3:U3"/>
    <mergeCell ref="P5:U5"/>
  </mergeCells>
  <printOptions horizontalCentered="1" verticalCentered="1"/>
  <pageMargins left="7.8740157480315001E-2" right="7.8740157480315001E-2" top="7.8740157480315001E-2" bottom="7.8740157480315001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P109"/>
  <sheetViews>
    <sheetView showGridLines="0" showRowColHeaders="0" view="pageBreakPreview" zoomScale="90" zoomScaleNormal="90" zoomScaleSheetLayoutView="90" workbookViewId="0">
      <selection activeCell="C5" sqref="C5:D5"/>
    </sheetView>
  </sheetViews>
  <sheetFormatPr defaultColWidth="0" defaultRowHeight="15.75" customHeight="1" zeroHeight="1"/>
  <cols>
    <col min="1" max="1" width="5.7109375" style="303" customWidth="1"/>
    <col min="2" max="2" width="11.140625" style="303" customWidth="1"/>
    <col min="3" max="6" width="18.42578125" style="303" customWidth="1"/>
    <col min="7" max="7" width="0.5703125" style="302" customWidth="1"/>
    <col min="8" max="16384" width="14.42578125" style="303" hidden="1"/>
  </cols>
  <sheetData>
    <row r="1" spans="1:15" ht="22.5" customHeight="1">
      <c r="A1" s="817" t="s">
        <v>244</v>
      </c>
      <c r="B1" s="817"/>
      <c r="C1" s="817"/>
      <c r="D1" s="817"/>
      <c r="E1" s="817"/>
      <c r="F1" s="817"/>
    </row>
    <row r="2" spans="1:15" ht="22.5" customHeight="1">
      <c r="A2" s="817" t="s">
        <v>245</v>
      </c>
      <c r="B2" s="817"/>
      <c r="C2" s="817"/>
      <c r="D2" s="817"/>
      <c r="E2" s="817"/>
      <c r="F2" s="817"/>
    </row>
    <row r="3" spans="1:15" ht="18" customHeight="1">
      <c r="A3" s="817" t="s">
        <v>246</v>
      </c>
      <c r="B3" s="817"/>
      <c r="C3" s="817"/>
      <c r="D3" s="817"/>
      <c r="E3" s="817"/>
      <c r="F3" s="817"/>
    </row>
    <row r="4" spans="1:15" ht="18" customHeight="1" thickBot="1">
      <c r="A4" s="817" t="s">
        <v>247</v>
      </c>
      <c r="B4" s="817"/>
      <c r="C4" s="817"/>
      <c r="D4" s="817"/>
      <c r="E4" s="817"/>
      <c r="F4" s="817"/>
    </row>
    <row r="5" spans="1:15" ht="22.5" customHeight="1" thickBot="1">
      <c r="A5" s="820" t="s">
        <v>248</v>
      </c>
      <c r="B5" s="821"/>
      <c r="C5" s="822"/>
      <c r="D5" s="822"/>
      <c r="E5" s="304" t="s">
        <v>249</v>
      </c>
      <c r="F5" s="336"/>
    </row>
    <row r="6" spans="1:15" ht="30" customHeight="1" thickBot="1">
      <c r="A6" s="827"/>
      <c r="B6" s="827"/>
      <c r="C6" s="827"/>
      <c r="D6" s="827"/>
      <c r="E6" s="827"/>
      <c r="F6" s="827"/>
    </row>
    <row r="7" spans="1:15" ht="25.5" customHeight="1">
      <c r="A7" s="801" t="s">
        <v>125</v>
      </c>
      <c r="B7" s="805"/>
      <c r="C7" s="805" t="s">
        <v>250</v>
      </c>
      <c r="D7" s="805"/>
      <c r="E7" s="805" t="s">
        <v>251</v>
      </c>
      <c r="F7" s="806"/>
      <c r="I7" s="305">
        <v>1</v>
      </c>
      <c r="J7" s="306" t="s">
        <v>252</v>
      </c>
      <c r="K7" s="307">
        <f>F26</f>
        <v>0</v>
      </c>
      <c r="M7" s="308"/>
      <c r="N7" s="309"/>
      <c r="O7" s="309"/>
    </row>
    <row r="8" spans="1:15" ht="25.5" customHeight="1">
      <c r="A8" s="795" t="s">
        <v>253</v>
      </c>
      <c r="B8" s="796"/>
      <c r="C8" s="963"/>
      <c r="D8" s="964"/>
      <c r="E8" s="818">
        <f>'Fill white Cells '!E3</f>
        <v>0</v>
      </c>
      <c r="F8" s="819"/>
      <c r="I8" s="305">
        <v>2</v>
      </c>
      <c r="J8" s="306" t="s">
        <v>254</v>
      </c>
      <c r="K8" s="310"/>
      <c r="L8" s="311" t="str">
        <f>RIGHT(K7,9)</f>
        <v>0</v>
      </c>
      <c r="M8" s="311"/>
      <c r="N8" s="311"/>
      <c r="O8" s="311"/>
    </row>
    <row r="9" spans="1:15" ht="25.5" customHeight="1">
      <c r="A9" s="797" t="s">
        <v>255</v>
      </c>
      <c r="B9" s="798"/>
      <c r="C9" s="963"/>
      <c r="D9" s="964"/>
      <c r="E9" s="818">
        <f>'Fill white Cells '!E4</f>
        <v>0</v>
      </c>
      <c r="F9" s="819"/>
      <c r="I9" s="305">
        <v>3</v>
      </c>
      <c r="J9" s="306" t="s">
        <v>256</v>
      </c>
      <c r="K9" s="310">
        <v>10000000</v>
      </c>
      <c r="L9" s="311">
        <f>QUOTIENT(L8,K9)</f>
        <v>0</v>
      </c>
      <c r="M9" s="311" t="str">
        <f>IF(L9&gt;0,VLOOKUP(L9,I:J,2,FALSE),"")</f>
        <v/>
      </c>
      <c r="N9" s="311" t="str">
        <f>IF(L9&gt;0,"Crore","")</f>
        <v/>
      </c>
      <c r="O9" s="311"/>
    </row>
    <row r="10" spans="1:15" ht="25.5" customHeight="1">
      <c r="A10" s="838" t="s">
        <v>257</v>
      </c>
      <c r="B10" s="839"/>
      <c r="C10" s="965"/>
      <c r="D10" s="964"/>
      <c r="E10" s="818" t="str">
        <f>'Fill white Cells '!E7</f>
        <v>.</v>
      </c>
      <c r="F10" s="819"/>
      <c r="I10" s="305">
        <v>4</v>
      </c>
      <c r="J10" s="306" t="s">
        <v>258</v>
      </c>
      <c r="K10" s="310"/>
      <c r="L10" s="311" t="str">
        <f>RIGHT(K7,7)</f>
        <v>0</v>
      </c>
      <c r="M10" s="311"/>
      <c r="N10" s="311"/>
      <c r="O10" s="311"/>
    </row>
    <row r="11" spans="1:15" ht="25.5" customHeight="1" thickBot="1">
      <c r="A11" s="833"/>
      <c r="B11" s="834"/>
      <c r="C11" s="966"/>
      <c r="D11" s="967"/>
      <c r="E11" s="844">
        <f>'Fill white Cells '!E8</f>
        <v>0</v>
      </c>
      <c r="F11" s="845"/>
      <c r="I11" s="305">
        <v>5</v>
      </c>
      <c r="J11" s="306" t="s">
        <v>259</v>
      </c>
      <c r="K11" s="310">
        <v>100000</v>
      </c>
      <c r="L11" s="311">
        <f>QUOTIENT(L10,K11)</f>
        <v>0</v>
      </c>
      <c r="M11" s="311" t="str">
        <f>IF(L11&gt;0,VLOOKUP(L11,I:J,2,FALSE),"")</f>
        <v/>
      </c>
      <c r="N11" s="311" t="str">
        <f>IF(L11&gt;0,"Lakh","")</f>
        <v/>
      </c>
      <c r="O11" s="311"/>
    </row>
    <row r="12" spans="1:15" ht="30" customHeight="1" thickBot="1">
      <c r="A12" s="828"/>
      <c r="B12" s="828"/>
      <c r="C12" s="828"/>
      <c r="D12" s="828"/>
      <c r="E12" s="828"/>
      <c r="F12" s="828"/>
      <c r="I12" s="305">
        <v>6</v>
      </c>
      <c r="J12" s="306" t="s">
        <v>260</v>
      </c>
      <c r="K12" s="310"/>
      <c r="L12" s="311" t="str">
        <f>RIGHT(K7,5)</f>
        <v>0</v>
      </c>
      <c r="M12" s="311"/>
      <c r="N12" s="311"/>
      <c r="O12" s="311"/>
    </row>
    <row r="13" spans="1:15" ht="30.75" customHeight="1">
      <c r="A13" s="801" t="s">
        <v>261</v>
      </c>
      <c r="B13" s="805"/>
      <c r="C13" s="805" t="s">
        <v>262</v>
      </c>
      <c r="D13" s="805"/>
      <c r="E13" s="805" t="s">
        <v>263</v>
      </c>
      <c r="F13" s="806"/>
      <c r="I13" s="305">
        <v>7</v>
      </c>
      <c r="J13" s="306" t="s">
        <v>264</v>
      </c>
      <c r="K13" s="310">
        <v>1000</v>
      </c>
      <c r="L13" s="311">
        <f>QUOTIENT(L12,K13)</f>
        <v>0</v>
      </c>
      <c r="M13" s="311" t="str">
        <f>IF(L13&gt;0,VLOOKUP(L13,I:J,2,FALSE),"")</f>
        <v/>
      </c>
      <c r="N13" s="311" t="str">
        <f>IF(L13&gt;0,"Thousand","")</f>
        <v/>
      </c>
      <c r="O13" s="311"/>
    </row>
    <row r="14" spans="1:15" ht="30.75" customHeight="1" thickBot="1">
      <c r="A14" s="823"/>
      <c r="B14" s="824"/>
      <c r="C14" s="968">
        <f>'Fill white Cells '!E2</f>
        <v>0</v>
      </c>
      <c r="D14" s="968"/>
      <c r="E14" s="840">
        <f>'Fill white Cells '!E9</f>
        <v>0</v>
      </c>
      <c r="F14" s="841"/>
      <c r="I14" s="305">
        <v>8</v>
      </c>
      <c r="J14" s="306" t="s">
        <v>265</v>
      </c>
      <c r="K14" s="310"/>
      <c r="L14" s="311" t="str">
        <f>RIGHT(K7,3)</f>
        <v>0</v>
      </c>
      <c r="M14" s="311"/>
      <c r="N14" s="311"/>
      <c r="O14" s="311"/>
    </row>
    <row r="15" spans="1:15" ht="30" customHeight="1" thickBot="1">
      <c r="A15" s="829"/>
      <c r="B15" s="829"/>
      <c r="C15" s="829"/>
      <c r="D15" s="829"/>
      <c r="E15" s="829"/>
      <c r="F15" s="829"/>
      <c r="I15" s="305">
        <v>9</v>
      </c>
      <c r="J15" s="306" t="s">
        <v>266</v>
      </c>
      <c r="K15" s="310">
        <v>100</v>
      </c>
      <c r="L15" s="311">
        <f>QUOTIENT(L14,K15)</f>
        <v>0</v>
      </c>
      <c r="M15" s="311" t="str">
        <f>IF(L15&gt;0,VLOOKUP(L15,I:J,2,FALSE),"")</f>
        <v/>
      </c>
      <c r="N15" s="311" t="str">
        <f>IF(L15&gt;0,"Hundred","")</f>
        <v/>
      </c>
      <c r="O15" s="311" t="str">
        <f>IF(L16&gt;0,"and","")</f>
        <v/>
      </c>
    </row>
    <row r="16" spans="1:15" ht="30.75" customHeight="1">
      <c r="A16" s="807" t="s">
        <v>267</v>
      </c>
      <c r="B16" s="808"/>
      <c r="C16" s="808"/>
      <c r="D16" s="809"/>
      <c r="E16" s="807" t="str">
        <f>'NEW front'!A2</f>
        <v>FINANCIAL YEAR : 2024 - 2025</v>
      </c>
      <c r="F16" s="809"/>
      <c r="I16" s="305">
        <v>10</v>
      </c>
      <c r="J16" s="306" t="s">
        <v>268</v>
      </c>
      <c r="K16" s="310"/>
      <c r="L16" s="311">
        <f>VALUE(RIGHT(K7,2))</f>
        <v>0</v>
      </c>
      <c r="M16" s="311" t="str">
        <f>IF(L16=0,"",VLOOKUP(L16,I:J,2,FALSE))&amp;"Only"</f>
        <v>Only</v>
      </c>
      <c r="N16" s="311"/>
      <c r="O16" s="311"/>
    </row>
    <row r="17" spans="1:16" ht="30.75" customHeight="1">
      <c r="A17" s="851"/>
      <c r="B17" s="852"/>
      <c r="C17" s="852"/>
      <c r="D17" s="853"/>
      <c r="E17" s="795" t="str">
        <f>'NEW front'!N2</f>
        <v>ASSESSMENT YEAR : 2025 -2026</v>
      </c>
      <c r="F17" s="850"/>
      <c r="I17" s="305">
        <v>11</v>
      </c>
      <c r="J17" s="306" t="s">
        <v>269</v>
      </c>
      <c r="K17" s="312" t="str">
        <f>IFERROR(IF(K7=0,"","[Rupees"&amp;CONCATENATE(M9,N9," ",M11,N11," ",M13,N13," ",M15,N15," ",O15," ",M16)&amp;"]"),0)</f>
        <v/>
      </c>
      <c r="L17" s="313"/>
      <c r="M17" s="314"/>
      <c r="N17" s="314"/>
      <c r="O17" s="314"/>
      <c r="P17" s="302"/>
    </row>
    <row r="18" spans="1:16" ht="30.75" customHeight="1" thickBot="1">
      <c r="A18" s="823"/>
      <c r="B18" s="824"/>
      <c r="C18" s="824"/>
      <c r="D18" s="854"/>
      <c r="E18" s="799" t="s">
        <v>270</v>
      </c>
      <c r="F18" s="800"/>
      <c r="I18" s="305">
        <v>12</v>
      </c>
      <c r="J18" s="306" t="s">
        <v>271</v>
      </c>
      <c r="K18" s="312"/>
      <c r="L18" s="315"/>
      <c r="M18" s="315"/>
      <c r="N18" s="315"/>
      <c r="O18" s="315"/>
      <c r="P18" s="302"/>
    </row>
    <row r="19" spans="1:16" ht="30" customHeight="1">
      <c r="A19" s="855" t="s">
        <v>272</v>
      </c>
      <c r="B19" s="855"/>
      <c r="C19" s="855"/>
      <c r="D19" s="855"/>
      <c r="E19" s="855"/>
      <c r="F19" s="855"/>
      <c r="I19" s="305">
        <v>13</v>
      </c>
      <c r="J19" s="306" t="s">
        <v>273</v>
      </c>
      <c r="K19" s="316" t="str">
        <f>"I, " &amp; C8 &amp; " working in the capacity of " &amp; C9 &amp; " do hereby certify that a sum of Rs." &amp; F26 &amp; "/-" &amp; K17 &amp; " " &amp; K20</f>
        <v>I,  working in the capacity of  do hereby certify that a sum of Rs.0/- has been deducted and deposited to the credit of the Central Government. I further certify that the information given above is true, complete and correct and is based on the books of account, documents, TDS statements, TDS deposited and other available records.</v>
      </c>
      <c r="L19" s="315"/>
      <c r="M19" s="315"/>
      <c r="N19" s="315"/>
      <c r="O19" s="315"/>
      <c r="P19" s="302"/>
    </row>
    <row r="20" spans="1:16" ht="35.25" customHeight="1" thickBot="1">
      <c r="A20" s="856"/>
      <c r="B20" s="856"/>
      <c r="C20" s="856"/>
      <c r="D20" s="856"/>
      <c r="E20" s="856"/>
      <c r="F20" s="856"/>
      <c r="I20" s="305">
        <v>14</v>
      </c>
      <c r="J20" s="306" t="s">
        <v>274</v>
      </c>
      <c r="K20" s="303" t="s">
        <v>275</v>
      </c>
      <c r="L20" s="315"/>
      <c r="M20" s="315"/>
      <c r="N20" s="315"/>
      <c r="O20" s="315"/>
      <c r="P20" s="302"/>
    </row>
    <row r="21" spans="1:16" ht="98.25" customHeight="1">
      <c r="A21" s="801" t="s">
        <v>276</v>
      </c>
      <c r="B21" s="805"/>
      <c r="C21" s="468" t="s">
        <v>277</v>
      </c>
      <c r="D21" s="468" t="s">
        <v>278</v>
      </c>
      <c r="E21" s="468" t="s">
        <v>279</v>
      </c>
      <c r="F21" s="317" t="s">
        <v>280</v>
      </c>
      <c r="I21" s="305">
        <v>15</v>
      </c>
      <c r="J21" s="306" t="s">
        <v>281</v>
      </c>
      <c r="K21" s="312"/>
      <c r="L21" s="315"/>
      <c r="M21" s="315"/>
      <c r="N21" s="315"/>
      <c r="O21" s="315"/>
      <c r="P21" s="302"/>
    </row>
    <row r="22" spans="1:16" ht="27" customHeight="1">
      <c r="A22" s="795" t="s">
        <v>235</v>
      </c>
      <c r="B22" s="811"/>
      <c r="C22" s="465"/>
      <c r="D22" s="467">
        <f>'NEW back'!J9+'NEW back'!J10+'NEW back'!J11+'NEW back'!J12</f>
        <v>0</v>
      </c>
      <c r="E22" s="318">
        <f>'NEW back'!Q9+'NEW back'!R9+'NEW back'!Q10+'NEW back'!R10+'NEW back'!Q11+'NEW back'!R11+'NEW back'!Q12+'NEW back'!R12</f>
        <v>0</v>
      </c>
      <c r="F22" s="466"/>
      <c r="I22" s="305">
        <v>16</v>
      </c>
      <c r="J22" s="306" t="s">
        <v>282</v>
      </c>
      <c r="K22" s="312"/>
      <c r="L22" s="315"/>
      <c r="M22" s="315"/>
      <c r="N22" s="315"/>
      <c r="O22" s="315"/>
      <c r="P22" s="302"/>
    </row>
    <row r="23" spans="1:16" ht="27" customHeight="1">
      <c r="A23" s="795" t="s">
        <v>34</v>
      </c>
      <c r="B23" s="811"/>
      <c r="C23" s="465"/>
      <c r="D23" s="467">
        <f>'NEW back'!J13+'NEW back'!J14+'NEW back'!J15</f>
        <v>0</v>
      </c>
      <c r="E23" s="318">
        <f>'NEW back'!Q13+'NEW back'!R13+'NEW back'!Q14+'NEW back'!R14+'NEW back'!Q15+'NEW back'!R15</f>
        <v>0</v>
      </c>
      <c r="F23" s="466"/>
      <c r="I23" s="305">
        <v>17</v>
      </c>
      <c r="J23" s="306" t="s">
        <v>283</v>
      </c>
      <c r="K23" s="312"/>
      <c r="L23" s="315"/>
      <c r="M23" s="315"/>
      <c r="N23" s="315"/>
      <c r="O23" s="315"/>
      <c r="P23" s="302"/>
    </row>
    <row r="24" spans="1:16" ht="27" customHeight="1">
      <c r="A24" s="795" t="s">
        <v>37</v>
      </c>
      <c r="B24" s="811"/>
      <c r="C24" s="465"/>
      <c r="D24" s="467">
        <f>'NEW back'!J16+'NEW back'!J17+'NEW back'!J18</f>
        <v>0</v>
      </c>
      <c r="E24" s="318">
        <f>'NEW back'!Q16+'NEW back'!R16+'NEW back'!Q17+'NEW back'!R17+'NEW back'!Q18+'NEW back'!R18</f>
        <v>0</v>
      </c>
      <c r="F24" s="466"/>
      <c r="I24" s="305">
        <v>18</v>
      </c>
      <c r="J24" s="306" t="s">
        <v>284</v>
      </c>
      <c r="K24" s="312"/>
      <c r="L24" s="315"/>
      <c r="M24" s="315"/>
      <c r="N24" s="315"/>
      <c r="O24" s="315"/>
      <c r="P24" s="302"/>
    </row>
    <row r="25" spans="1:16" ht="27" customHeight="1">
      <c r="A25" s="795" t="s">
        <v>39</v>
      </c>
      <c r="B25" s="811"/>
      <c r="C25" s="465"/>
      <c r="D25" s="467">
        <f>'NEW back'!J19+'NEW back'!J20+'NEW back'!J26+'NEW back'!J29+'NEW back'!J25</f>
        <v>0</v>
      </c>
      <c r="E25" s="318">
        <f>'NEW back'!Q19+'NEW back'!R19+'NEW back'!Q20+'NEW back'!R20+'NEW back'!Q26+'NEW back'!R26+'NEW back'!Q29+'NEW back'!R29</f>
        <v>0</v>
      </c>
      <c r="F25" s="466"/>
      <c r="I25" s="305">
        <v>19</v>
      </c>
      <c r="J25" s="306" t="s">
        <v>285</v>
      </c>
      <c r="K25" s="312"/>
      <c r="L25" s="315"/>
      <c r="M25" s="315"/>
      <c r="N25" s="315"/>
      <c r="O25" s="315"/>
      <c r="P25" s="302"/>
    </row>
    <row r="26" spans="1:16" ht="33" customHeight="1" thickBot="1">
      <c r="A26" s="830" t="s">
        <v>230</v>
      </c>
      <c r="B26" s="831"/>
      <c r="C26" s="832"/>
      <c r="D26" s="319">
        <f>SUM(D22:D25)</f>
        <v>0</v>
      </c>
      <c r="E26" s="320">
        <f>SUM(E22:E25)</f>
        <v>0</v>
      </c>
      <c r="F26" s="321">
        <f>SUM(F22:F25)</f>
        <v>0</v>
      </c>
      <c r="I26" s="305">
        <v>20</v>
      </c>
      <c r="J26" s="306" t="s">
        <v>286</v>
      </c>
      <c r="K26" s="312"/>
      <c r="L26" s="315"/>
      <c r="M26" s="315"/>
      <c r="N26" s="315"/>
      <c r="O26" s="315"/>
      <c r="P26" s="302"/>
    </row>
    <row r="27" spans="1:16">
      <c r="A27" s="302"/>
      <c r="B27" s="302"/>
      <c r="C27" s="302"/>
      <c r="D27" s="302"/>
      <c r="E27" s="302"/>
      <c r="F27" s="302"/>
      <c r="I27" s="305">
        <v>21</v>
      </c>
      <c r="J27" s="306" t="s">
        <v>287</v>
      </c>
      <c r="K27" s="322"/>
      <c r="L27" s="313"/>
      <c r="M27" s="314"/>
      <c r="N27" s="314"/>
      <c r="O27" s="314"/>
      <c r="P27" s="302"/>
    </row>
    <row r="28" spans="1:16" ht="27.75" customHeight="1">
      <c r="A28" s="859" t="s">
        <v>288</v>
      </c>
      <c r="B28" s="859"/>
      <c r="C28" s="859"/>
      <c r="D28" s="859"/>
      <c r="E28" s="859"/>
      <c r="F28" s="859"/>
      <c r="I28" s="305">
        <v>22</v>
      </c>
      <c r="J28" s="306" t="s">
        <v>289</v>
      </c>
      <c r="K28" s="322"/>
      <c r="L28" s="323"/>
      <c r="M28" s="324"/>
      <c r="N28" s="324"/>
      <c r="O28" s="324"/>
      <c r="P28" s="302"/>
    </row>
    <row r="29" spans="1:16" ht="32.25" customHeight="1" thickBot="1">
      <c r="A29" s="921" t="s">
        <v>290</v>
      </c>
      <c r="B29" s="921"/>
      <c r="C29" s="921"/>
      <c r="D29" s="921"/>
      <c r="E29" s="921"/>
      <c r="F29" s="921"/>
      <c r="I29" s="305">
        <v>23</v>
      </c>
      <c r="J29" s="306" t="s">
        <v>291</v>
      </c>
      <c r="K29" s="322"/>
      <c r="L29" s="323"/>
      <c r="M29" s="324"/>
      <c r="N29" s="324"/>
      <c r="O29" s="324"/>
      <c r="P29" s="302"/>
    </row>
    <row r="30" spans="1:16" ht="21.75" customHeight="1">
      <c r="A30" s="801" t="s">
        <v>292</v>
      </c>
      <c r="B30" s="803" t="s">
        <v>293</v>
      </c>
      <c r="C30" s="805" t="s">
        <v>294</v>
      </c>
      <c r="D30" s="805"/>
      <c r="E30" s="805"/>
      <c r="F30" s="806"/>
      <c r="I30" s="305">
        <v>24</v>
      </c>
      <c r="J30" s="306" t="s">
        <v>295</v>
      </c>
      <c r="K30" s="322"/>
      <c r="L30" s="323"/>
      <c r="M30" s="324"/>
      <c r="N30" s="324"/>
      <c r="O30" s="324"/>
      <c r="P30" s="302"/>
    </row>
    <row r="31" spans="1:16" ht="72" customHeight="1">
      <c r="A31" s="802"/>
      <c r="B31" s="804"/>
      <c r="C31" s="469" t="s">
        <v>296</v>
      </c>
      <c r="D31" s="469" t="s">
        <v>297</v>
      </c>
      <c r="E31" s="469" t="s">
        <v>298</v>
      </c>
      <c r="F31" s="325" t="s">
        <v>299</v>
      </c>
      <c r="I31" s="305">
        <v>25</v>
      </c>
      <c r="J31" s="306" t="s">
        <v>300</v>
      </c>
      <c r="K31" s="322"/>
      <c r="L31" s="323"/>
      <c r="M31" s="324"/>
      <c r="N31" s="324"/>
      <c r="O31" s="324"/>
      <c r="P31" s="302"/>
    </row>
    <row r="32" spans="1:16" ht="18" customHeight="1">
      <c r="A32" s="464">
        <v>1</v>
      </c>
      <c r="B32" s="318">
        <f>'NEW back'!Q9+'NEW back'!R9</f>
        <v>0</v>
      </c>
      <c r="C32" s="465"/>
      <c r="D32" s="465"/>
      <c r="E32" s="465"/>
      <c r="F32" s="466"/>
      <c r="I32" s="305">
        <v>26</v>
      </c>
      <c r="J32" s="306" t="s">
        <v>301</v>
      </c>
      <c r="K32" s="322"/>
      <c r="L32" s="323"/>
      <c r="M32" s="324"/>
      <c r="N32" s="324"/>
      <c r="O32" s="324"/>
      <c r="P32" s="302"/>
    </row>
    <row r="33" spans="1:16" ht="18" customHeight="1">
      <c r="A33" s="464">
        <v>2</v>
      </c>
      <c r="B33" s="318">
        <f>'NEW back'!Q10+'NEW back'!R10</f>
        <v>0</v>
      </c>
      <c r="C33" s="465"/>
      <c r="D33" s="465"/>
      <c r="E33" s="465"/>
      <c r="F33" s="466"/>
      <c r="I33" s="305">
        <v>27</v>
      </c>
      <c r="J33" s="306" t="s">
        <v>302</v>
      </c>
      <c r="K33" s="322"/>
      <c r="L33" s="323"/>
      <c r="M33" s="324"/>
      <c r="N33" s="324"/>
      <c r="O33" s="324"/>
      <c r="P33" s="302"/>
    </row>
    <row r="34" spans="1:16" ht="18" customHeight="1">
      <c r="A34" s="464">
        <v>3</v>
      </c>
      <c r="B34" s="318">
        <f>'NEW back'!Q11+'NEW back'!R11</f>
        <v>0</v>
      </c>
      <c r="C34" s="465"/>
      <c r="D34" s="465"/>
      <c r="E34" s="465"/>
      <c r="F34" s="466"/>
      <c r="I34" s="305">
        <v>28</v>
      </c>
      <c r="J34" s="306" t="s">
        <v>303</v>
      </c>
      <c r="K34" s="322"/>
      <c r="L34" s="323"/>
      <c r="M34" s="324"/>
      <c r="N34" s="324"/>
      <c r="O34" s="324"/>
      <c r="P34" s="302"/>
    </row>
    <row r="35" spans="1:16" ht="18" customHeight="1">
      <c r="A35" s="464">
        <v>4</v>
      </c>
      <c r="B35" s="318">
        <f>'NEW back'!Q12+'NEW back'!R12</f>
        <v>0</v>
      </c>
      <c r="C35" s="465"/>
      <c r="D35" s="465"/>
      <c r="E35" s="465"/>
      <c r="F35" s="466"/>
      <c r="I35" s="305">
        <v>29</v>
      </c>
      <c r="J35" s="306" t="s">
        <v>304</v>
      </c>
      <c r="K35" s="322"/>
      <c r="L35" s="323"/>
      <c r="M35" s="324"/>
      <c r="N35" s="324"/>
      <c r="O35" s="324"/>
      <c r="P35" s="302"/>
    </row>
    <row r="36" spans="1:16" ht="18" customHeight="1">
      <c r="A36" s="464">
        <v>5</v>
      </c>
      <c r="B36" s="318">
        <f>'NEW back'!Q13+'NEW back'!R13</f>
        <v>0</v>
      </c>
      <c r="C36" s="465"/>
      <c r="D36" s="465"/>
      <c r="E36" s="465"/>
      <c r="F36" s="466"/>
      <c r="I36" s="305">
        <v>30</v>
      </c>
      <c r="J36" s="306" t="s">
        <v>305</v>
      </c>
      <c r="K36" s="322"/>
      <c r="L36" s="323"/>
      <c r="M36" s="324"/>
      <c r="N36" s="324"/>
      <c r="O36" s="324"/>
      <c r="P36" s="302"/>
    </row>
    <row r="37" spans="1:16" ht="18" customHeight="1">
      <c r="A37" s="464">
        <v>6</v>
      </c>
      <c r="B37" s="318">
        <f>'NEW back'!Q14+'NEW back'!R14</f>
        <v>0</v>
      </c>
      <c r="C37" s="465"/>
      <c r="D37" s="465"/>
      <c r="E37" s="465"/>
      <c r="F37" s="466"/>
      <c r="I37" s="305">
        <v>31</v>
      </c>
      <c r="J37" s="306" t="s">
        <v>306</v>
      </c>
      <c r="K37" s="312"/>
      <c r="L37" s="313"/>
      <c r="M37" s="314"/>
      <c r="N37" s="314"/>
      <c r="O37" s="314"/>
      <c r="P37" s="302"/>
    </row>
    <row r="38" spans="1:16" ht="18" customHeight="1">
      <c r="A38" s="464">
        <v>7</v>
      </c>
      <c r="B38" s="318">
        <f>'NEW back'!Q15+'NEW back'!R15</f>
        <v>0</v>
      </c>
      <c r="C38" s="465"/>
      <c r="D38" s="465"/>
      <c r="E38" s="465"/>
      <c r="F38" s="466"/>
      <c r="I38" s="305">
        <v>32</v>
      </c>
      <c r="J38" s="306" t="s">
        <v>307</v>
      </c>
      <c r="K38" s="312"/>
      <c r="L38" s="315"/>
      <c r="M38" s="315"/>
      <c r="N38" s="315"/>
      <c r="O38" s="315"/>
      <c r="P38" s="302"/>
    </row>
    <row r="39" spans="1:16" ht="18" customHeight="1">
      <c r="A39" s="464">
        <v>8</v>
      </c>
      <c r="B39" s="318">
        <f>'NEW back'!Q16+'NEW back'!R16</f>
        <v>0</v>
      </c>
      <c r="C39" s="465"/>
      <c r="D39" s="465"/>
      <c r="E39" s="465"/>
      <c r="F39" s="466"/>
      <c r="I39" s="305">
        <v>33</v>
      </c>
      <c r="J39" s="306" t="s">
        <v>308</v>
      </c>
      <c r="K39" s="312"/>
      <c r="L39" s="315"/>
      <c r="M39" s="315"/>
      <c r="N39" s="315"/>
      <c r="O39" s="315"/>
      <c r="P39" s="302"/>
    </row>
    <row r="40" spans="1:16" ht="18" customHeight="1">
      <c r="A40" s="464">
        <v>9</v>
      </c>
      <c r="B40" s="318">
        <f>'NEW back'!Q17+'NEW back'!R17</f>
        <v>0</v>
      </c>
      <c r="C40" s="465"/>
      <c r="D40" s="465"/>
      <c r="E40" s="465"/>
      <c r="F40" s="466"/>
      <c r="I40" s="305">
        <v>34</v>
      </c>
      <c r="J40" s="306" t="s">
        <v>309</v>
      </c>
      <c r="K40" s="312"/>
      <c r="L40" s="315"/>
      <c r="M40" s="315"/>
      <c r="N40" s="315"/>
      <c r="O40" s="315"/>
      <c r="P40" s="302"/>
    </row>
    <row r="41" spans="1:16" ht="18" customHeight="1">
      <c r="A41" s="464">
        <v>10</v>
      </c>
      <c r="B41" s="318">
        <f>'NEW back'!Q18+'NEW back'!R18</f>
        <v>0</v>
      </c>
      <c r="C41" s="465"/>
      <c r="D41" s="465"/>
      <c r="E41" s="465"/>
      <c r="F41" s="466"/>
      <c r="I41" s="305">
        <v>35</v>
      </c>
      <c r="J41" s="306" t="s">
        <v>310</v>
      </c>
      <c r="K41" s="312"/>
      <c r="L41" s="315"/>
      <c r="M41" s="315"/>
      <c r="N41" s="315"/>
      <c r="O41" s="315"/>
      <c r="P41" s="302"/>
    </row>
    <row r="42" spans="1:16" ht="18" customHeight="1">
      <c r="A42" s="464">
        <v>11</v>
      </c>
      <c r="B42" s="318">
        <f>'NEW back'!Q19+'NEW back'!R19</f>
        <v>0</v>
      </c>
      <c r="C42" s="465"/>
      <c r="D42" s="465"/>
      <c r="E42" s="465"/>
      <c r="F42" s="466"/>
      <c r="I42" s="305">
        <v>36</v>
      </c>
      <c r="J42" s="306" t="s">
        <v>311</v>
      </c>
      <c r="K42" s="312"/>
      <c r="L42" s="315"/>
      <c r="M42" s="315"/>
      <c r="N42" s="315"/>
      <c r="O42" s="315"/>
      <c r="P42" s="302"/>
    </row>
    <row r="43" spans="1:16" ht="18" customHeight="1">
      <c r="A43" s="464">
        <v>12</v>
      </c>
      <c r="B43" s="318">
        <f>'NEW back'!Q20+'NEW back'!R20</f>
        <v>0</v>
      </c>
      <c r="C43" s="465"/>
      <c r="D43" s="465"/>
      <c r="E43" s="465"/>
      <c r="F43" s="466"/>
      <c r="I43" s="305">
        <v>37</v>
      </c>
      <c r="J43" s="306" t="s">
        <v>312</v>
      </c>
      <c r="K43" s="312"/>
      <c r="L43" s="315"/>
      <c r="M43" s="315"/>
      <c r="N43" s="315"/>
      <c r="O43" s="315"/>
      <c r="P43" s="302"/>
    </row>
    <row r="44" spans="1:16" ht="22.5" customHeight="1" thickBot="1">
      <c r="A44" s="326" t="s">
        <v>230</v>
      </c>
      <c r="B44" s="327">
        <f>SUM(B32:B43)</f>
        <v>0</v>
      </c>
      <c r="C44" s="846"/>
      <c r="D44" s="847"/>
      <c r="E44" s="847"/>
      <c r="F44" s="848"/>
      <c r="I44" s="305">
        <v>38</v>
      </c>
      <c r="J44" s="306" t="s">
        <v>313</v>
      </c>
      <c r="K44" s="312"/>
      <c r="L44" s="315"/>
      <c r="M44" s="315"/>
      <c r="N44" s="315"/>
      <c r="O44" s="315"/>
      <c r="P44" s="302"/>
    </row>
    <row r="45" spans="1:16" ht="9" customHeight="1">
      <c r="A45" s="302"/>
      <c r="B45" s="302"/>
      <c r="C45" s="302"/>
      <c r="D45" s="302"/>
      <c r="E45" s="302"/>
      <c r="F45" s="302"/>
      <c r="I45" s="305">
        <v>39</v>
      </c>
      <c r="J45" s="306" t="s">
        <v>315</v>
      </c>
      <c r="K45" s="312"/>
      <c r="L45" s="315"/>
      <c r="M45" s="315"/>
      <c r="N45" s="315"/>
      <c r="O45" s="315"/>
      <c r="P45" s="302"/>
    </row>
    <row r="46" spans="1:16" ht="21" customHeight="1" thickBot="1">
      <c r="A46" s="859" t="s">
        <v>314</v>
      </c>
      <c r="B46" s="859"/>
      <c r="C46" s="859"/>
      <c r="D46" s="859"/>
      <c r="E46" s="859"/>
      <c r="F46" s="859"/>
      <c r="I46" s="305">
        <v>40</v>
      </c>
      <c r="J46" s="306" t="s">
        <v>316</v>
      </c>
      <c r="K46" s="312"/>
      <c r="L46" s="315"/>
      <c r="M46" s="328"/>
      <c r="N46" s="315"/>
      <c r="O46" s="315"/>
      <c r="P46" s="302"/>
    </row>
    <row r="47" spans="1:16">
      <c r="A47" s="801" t="s">
        <v>292</v>
      </c>
      <c r="B47" s="803" t="s">
        <v>293</v>
      </c>
      <c r="C47" s="805" t="s">
        <v>317</v>
      </c>
      <c r="D47" s="805"/>
      <c r="E47" s="805"/>
      <c r="F47" s="806"/>
      <c r="I47" s="305">
        <v>41</v>
      </c>
      <c r="J47" s="306" t="s">
        <v>318</v>
      </c>
      <c r="K47" s="329"/>
      <c r="L47" s="330"/>
      <c r="M47" s="46"/>
      <c r="N47" s="46"/>
      <c r="O47" s="46"/>
      <c r="P47" s="302"/>
    </row>
    <row r="48" spans="1:16" ht="47.25">
      <c r="A48" s="802"/>
      <c r="B48" s="804"/>
      <c r="C48" s="469" t="s">
        <v>319</v>
      </c>
      <c r="D48" s="469" t="s">
        <v>320</v>
      </c>
      <c r="E48" s="469" t="s">
        <v>321</v>
      </c>
      <c r="F48" s="325" t="s">
        <v>322</v>
      </c>
      <c r="I48" s="305">
        <v>42</v>
      </c>
      <c r="J48" s="306" t="s">
        <v>323</v>
      </c>
      <c r="K48" s="329"/>
      <c r="L48" s="330"/>
      <c r="M48" s="46"/>
      <c r="N48" s="46"/>
      <c r="O48" s="46"/>
      <c r="P48" s="302"/>
    </row>
    <row r="49" spans="1:16" ht="18" customHeight="1">
      <c r="A49" s="464">
        <v>1</v>
      </c>
      <c r="B49" s="465"/>
      <c r="C49" s="465"/>
      <c r="D49" s="465"/>
      <c r="E49" s="465"/>
      <c r="F49" s="466"/>
      <c r="I49" s="305">
        <v>43</v>
      </c>
      <c r="J49" s="306" t="s">
        <v>324</v>
      </c>
      <c r="K49" s="329"/>
      <c r="L49" s="330"/>
      <c r="M49" s="46"/>
      <c r="N49" s="46"/>
      <c r="O49" s="46"/>
      <c r="P49" s="302"/>
    </row>
    <row r="50" spans="1:16" ht="18" customHeight="1">
      <c r="A50" s="464">
        <v>2</v>
      </c>
      <c r="B50" s="465"/>
      <c r="C50" s="465"/>
      <c r="D50" s="465"/>
      <c r="E50" s="465"/>
      <c r="F50" s="466"/>
      <c r="I50" s="305">
        <v>44</v>
      </c>
      <c r="J50" s="306" t="s">
        <v>325</v>
      </c>
      <c r="K50" s="329"/>
      <c r="L50" s="330"/>
      <c r="M50" s="46"/>
      <c r="N50" s="46"/>
      <c r="O50" s="46"/>
      <c r="P50" s="302"/>
    </row>
    <row r="51" spans="1:16" ht="18" customHeight="1">
      <c r="A51" s="464">
        <v>3</v>
      </c>
      <c r="B51" s="465"/>
      <c r="C51" s="465"/>
      <c r="D51" s="465"/>
      <c r="E51" s="465"/>
      <c r="F51" s="466"/>
      <c r="I51" s="305">
        <v>45</v>
      </c>
      <c r="J51" s="306" t="s">
        <v>326</v>
      </c>
      <c r="K51" s="329"/>
      <c r="L51" s="330"/>
      <c r="M51" s="46"/>
      <c r="N51" s="46"/>
      <c r="O51" s="46"/>
      <c r="P51" s="302"/>
    </row>
    <row r="52" spans="1:16" ht="18" customHeight="1">
      <c r="A52" s="464">
        <v>4</v>
      </c>
      <c r="B52" s="465"/>
      <c r="C52" s="465"/>
      <c r="D52" s="465"/>
      <c r="E52" s="465"/>
      <c r="F52" s="466"/>
      <c r="I52" s="305">
        <v>46</v>
      </c>
      <c r="J52" s="306" t="s">
        <v>327</v>
      </c>
      <c r="K52" s="329"/>
      <c r="L52" s="330"/>
      <c r="M52" s="46"/>
      <c r="N52" s="46"/>
      <c r="O52" s="46"/>
      <c r="P52" s="302"/>
    </row>
    <row r="53" spans="1:16" ht="22.5" customHeight="1" thickBot="1">
      <c r="A53" s="331" t="s">
        <v>230</v>
      </c>
      <c r="B53" s="327">
        <f>SUM(B49:B52)</f>
        <v>0</v>
      </c>
      <c r="C53" s="846"/>
      <c r="D53" s="847"/>
      <c r="E53" s="847"/>
      <c r="F53" s="848"/>
      <c r="I53" s="305">
        <v>47</v>
      </c>
      <c r="J53" s="306" t="s">
        <v>328</v>
      </c>
      <c r="K53" s="329"/>
      <c r="L53" s="330"/>
      <c r="M53" s="46"/>
      <c r="N53" s="46"/>
      <c r="O53" s="46"/>
      <c r="P53" s="302"/>
    </row>
    <row r="54" spans="1:16" ht="9" customHeight="1">
      <c r="A54" s="302"/>
      <c r="B54" s="302"/>
      <c r="C54" s="302"/>
      <c r="D54" s="302"/>
      <c r="E54" s="302"/>
      <c r="F54" s="302"/>
      <c r="I54" s="305">
        <v>48</v>
      </c>
      <c r="J54" s="306" t="s">
        <v>330</v>
      </c>
      <c r="K54" s="329"/>
      <c r="L54" s="330"/>
      <c r="M54" s="46"/>
      <c r="N54" s="46"/>
      <c r="O54" s="46"/>
      <c r="P54" s="302"/>
    </row>
    <row r="55" spans="1:16" ht="16.5" thickBot="1">
      <c r="A55" s="969" t="s">
        <v>329</v>
      </c>
      <c r="B55" s="969"/>
      <c r="C55" s="969"/>
      <c r="D55" s="969"/>
      <c r="E55" s="969"/>
      <c r="F55" s="969"/>
      <c r="I55" s="305">
        <v>49</v>
      </c>
      <c r="J55" s="306" t="s">
        <v>331</v>
      </c>
      <c r="K55" s="329"/>
      <c r="L55" s="330"/>
      <c r="M55" s="46"/>
      <c r="N55" s="46"/>
      <c r="O55" s="46"/>
      <c r="P55" s="302"/>
    </row>
    <row r="56" spans="1:16" ht="87.75" customHeight="1">
      <c r="A56" s="812" t="str">
        <f>K19</f>
        <v>I,  working in the capacity of  do hereby certify that a sum of Rs.0/- has been deducted and deposited to the credit of the Central Government. I further certify that the information given above is true, complete and correct and is based on the books of account, documents, TDS statements, TDS deposited and other available records.</v>
      </c>
      <c r="B56" s="813"/>
      <c r="C56" s="813"/>
      <c r="D56" s="813"/>
      <c r="E56" s="813"/>
      <c r="F56" s="814"/>
      <c r="I56" s="305">
        <v>50</v>
      </c>
      <c r="J56" s="306" t="s">
        <v>332</v>
      </c>
      <c r="K56" s="329"/>
      <c r="L56" s="330"/>
      <c r="M56" s="46"/>
      <c r="N56" s="46"/>
      <c r="O56" s="46"/>
      <c r="P56" s="302"/>
    </row>
    <row r="57" spans="1:16" ht="22.5" customHeight="1">
      <c r="A57" s="332"/>
      <c r="B57" s="302"/>
      <c r="C57" s="302"/>
      <c r="D57" s="302"/>
      <c r="E57" s="302"/>
      <c r="F57" s="333"/>
      <c r="I57" s="305">
        <v>51</v>
      </c>
      <c r="J57" s="306" t="s">
        <v>333</v>
      </c>
      <c r="K57" s="329"/>
      <c r="L57" s="330"/>
      <c r="M57" s="46"/>
      <c r="N57" s="46"/>
      <c r="O57" s="46"/>
      <c r="P57" s="302"/>
    </row>
    <row r="58" spans="1:16" ht="24.75" customHeight="1">
      <c r="A58" s="332"/>
      <c r="B58" s="302"/>
      <c r="C58" s="302"/>
      <c r="D58" s="302"/>
      <c r="E58" s="302"/>
      <c r="F58" s="333"/>
      <c r="I58" s="305">
        <v>52</v>
      </c>
      <c r="J58" s="306" t="s">
        <v>334</v>
      </c>
      <c r="K58" s="329"/>
      <c r="L58" s="330"/>
      <c r="M58" s="46"/>
      <c r="N58" s="46"/>
      <c r="O58" s="46"/>
      <c r="P58" s="302"/>
    </row>
    <row r="59" spans="1:16" ht="21.75" customHeight="1">
      <c r="A59" s="815" t="s">
        <v>199</v>
      </c>
      <c r="B59" s="816"/>
      <c r="C59" s="334">
        <f>C11</f>
        <v>0</v>
      </c>
      <c r="D59" s="791" t="s">
        <v>335</v>
      </c>
      <c r="E59" s="791"/>
      <c r="F59" s="792"/>
      <c r="I59" s="305">
        <v>53</v>
      </c>
      <c r="J59" s="306" t="s">
        <v>336</v>
      </c>
      <c r="K59" s="329"/>
      <c r="L59" s="330"/>
      <c r="M59" s="46"/>
      <c r="N59" s="46"/>
      <c r="O59" s="46"/>
      <c r="P59" s="302"/>
    </row>
    <row r="60" spans="1:16" ht="16.5" thickBot="1">
      <c r="A60" s="789" t="s">
        <v>200</v>
      </c>
      <c r="B60" s="790"/>
      <c r="C60" s="337">
        <f>F5</f>
        <v>0</v>
      </c>
      <c r="D60" s="793" t="str">
        <f>C8&amp;", " &amp;C9</f>
        <v xml:space="preserve">, </v>
      </c>
      <c r="E60" s="793"/>
      <c r="F60" s="794"/>
      <c r="I60" s="305">
        <v>54</v>
      </c>
      <c r="J60" s="306" t="s">
        <v>337</v>
      </c>
      <c r="K60" s="329"/>
      <c r="L60" s="330"/>
      <c r="M60" s="46"/>
      <c r="N60" s="46"/>
      <c r="O60" s="46"/>
      <c r="P60" s="302"/>
    </row>
    <row r="61" spans="1:16" ht="6" customHeight="1">
      <c r="A61" s="302"/>
      <c r="B61" s="302"/>
      <c r="C61" s="302"/>
      <c r="D61" s="302"/>
      <c r="E61" s="302"/>
      <c r="F61" s="302"/>
      <c r="I61" s="305">
        <v>55</v>
      </c>
      <c r="J61" s="306" t="s">
        <v>338</v>
      </c>
      <c r="K61" s="329"/>
      <c r="L61" s="330"/>
      <c r="M61" s="46"/>
      <c r="N61" s="46"/>
      <c r="O61" s="46"/>
      <c r="P61" s="302"/>
    </row>
    <row r="62" spans="1:16" hidden="1">
      <c r="I62" s="305">
        <v>56</v>
      </c>
      <c r="J62" s="306" t="s">
        <v>339</v>
      </c>
      <c r="K62" s="329"/>
      <c r="L62" s="330"/>
      <c r="M62" s="46"/>
      <c r="N62" s="46"/>
      <c r="O62" s="46"/>
      <c r="P62" s="302"/>
    </row>
    <row r="63" spans="1:16" hidden="1">
      <c r="I63" s="305">
        <v>57</v>
      </c>
      <c r="J63" s="306" t="s">
        <v>340</v>
      </c>
      <c r="K63" s="329"/>
      <c r="L63" s="330"/>
      <c r="M63" s="46"/>
      <c r="N63" s="46"/>
      <c r="O63" s="46"/>
      <c r="P63" s="302"/>
    </row>
    <row r="64" spans="1:16" hidden="1">
      <c r="I64" s="305">
        <v>58</v>
      </c>
      <c r="J64" s="306" t="s">
        <v>341</v>
      </c>
      <c r="K64" s="329"/>
      <c r="L64" s="330"/>
      <c r="M64" s="46"/>
      <c r="N64" s="46"/>
      <c r="O64" s="46"/>
      <c r="P64" s="302"/>
    </row>
    <row r="65" spans="9:16" hidden="1">
      <c r="I65" s="305">
        <v>59</v>
      </c>
      <c r="J65" s="306" t="s">
        <v>342</v>
      </c>
      <c r="K65" s="329"/>
      <c r="L65" s="330"/>
      <c r="M65" s="46"/>
      <c r="N65" s="46"/>
      <c r="O65" s="46"/>
      <c r="P65" s="302"/>
    </row>
    <row r="66" spans="9:16" hidden="1">
      <c r="I66" s="305">
        <v>60</v>
      </c>
      <c r="J66" s="306" t="s">
        <v>343</v>
      </c>
      <c r="K66" s="329"/>
      <c r="L66" s="330"/>
      <c r="M66" s="46"/>
      <c r="N66" s="46"/>
      <c r="O66" s="46"/>
      <c r="P66" s="302"/>
    </row>
    <row r="67" spans="9:16" hidden="1">
      <c r="I67" s="305">
        <v>61</v>
      </c>
      <c r="J67" s="306" t="s">
        <v>344</v>
      </c>
      <c r="K67" s="329"/>
      <c r="L67" s="330"/>
      <c r="M67" s="46"/>
      <c r="N67" s="46"/>
      <c r="O67" s="46"/>
      <c r="P67" s="302"/>
    </row>
    <row r="68" spans="9:16" hidden="1">
      <c r="I68" s="305">
        <v>62</v>
      </c>
      <c r="J68" s="306" t="s">
        <v>345</v>
      </c>
      <c r="K68" s="329"/>
      <c r="L68" s="330"/>
      <c r="M68" s="46"/>
      <c r="N68" s="46"/>
      <c r="O68" s="46"/>
      <c r="P68" s="302"/>
    </row>
    <row r="69" spans="9:16" hidden="1">
      <c r="I69" s="305">
        <v>63</v>
      </c>
      <c r="J69" s="306" t="s">
        <v>346</v>
      </c>
      <c r="K69" s="329"/>
      <c r="L69" s="330"/>
      <c r="M69" s="46"/>
      <c r="N69" s="46"/>
      <c r="O69" s="46"/>
      <c r="P69" s="302"/>
    </row>
    <row r="70" spans="9:16" hidden="1">
      <c r="I70" s="305">
        <v>64</v>
      </c>
      <c r="J70" s="306" t="s">
        <v>347</v>
      </c>
      <c r="K70" s="329"/>
      <c r="L70" s="330"/>
      <c r="M70" s="46"/>
      <c r="N70" s="46"/>
      <c r="O70" s="46"/>
      <c r="P70" s="302"/>
    </row>
    <row r="71" spans="9:16" hidden="1">
      <c r="I71" s="305">
        <v>65</v>
      </c>
      <c r="J71" s="306" t="s">
        <v>348</v>
      </c>
      <c r="K71" s="329"/>
      <c r="L71" s="330"/>
      <c r="M71" s="46"/>
      <c r="N71" s="46"/>
      <c r="O71" s="46"/>
      <c r="P71" s="302"/>
    </row>
    <row r="72" spans="9:16" hidden="1">
      <c r="I72" s="305">
        <v>66</v>
      </c>
      <c r="J72" s="306" t="s">
        <v>349</v>
      </c>
      <c r="K72" s="329"/>
      <c r="L72" s="330"/>
      <c r="M72" s="46"/>
      <c r="N72" s="46"/>
      <c r="O72" s="46"/>
      <c r="P72" s="302"/>
    </row>
    <row r="73" spans="9:16" hidden="1">
      <c r="I73" s="305">
        <v>67</v>
      </c>
      <c r="J73" s="306" t="s">
        <v>350</v>
      </c>
      <c r="K73" s="329"/>
      <c r="L73" s="330"/>
      <c r="M73" s="46"/>
      <c r="N73" s="46"/>
      <c r="O73" s="46"/>
      <c r="P73" s="302"/>
    </row>
    <row r="74" spans="9:16" hidden="1">
      <c r="I74" s="305">
        <v>68</v>
      </c>
      <c r="J74" s="306" t="s">
        <v>351</v>
      </c>
      <c r="K74" s="329"/>
      <c r="L74" s="330"/>
      <c r="M74" s="46"/>
      <c r="N74" s="46"/>
      <c r="O74" s="46"/>
      <c r="P74" s="302"/>
    </row>
    <row r="75" spans="9:16" hidden="1">
      <c r="I75" s="305">
        <v>69</v>
      </c>
      <c r="J75" s="306" t="s">
        <v>352</v>
      </c>
      <c r="K75" s="329"/>
      <c r="L75" s="330"/>
      <c r="M75" s="46"/>
      <c r="N75" s="46"/>
      <c r="O75" s="46"/>
      <c r="P75" s="302"/>
    </row>
    <row r="76" spans="9:16" hidden="1">
      <c r="I76" s="305">
        <v>70</v>
      </c>
      <c r="J76" s="306" t="s">
        <v>353</v>
      </c>
      <c r="K76" s="329"/>
      <c r="L76" s="330"/>
      <c r="M76" s="46"/>
      <c r="N76" s="46"/>
      <c r="O76" s="46"/>
      <c r="P76" s="302"/>
    </row>
    <row r="77" spans="9:16" hidden="1">
      <c r="I77" s="305">
        <v>71</v>
      </c>
      <c r="J77" s="306" t="s">
        <v>354</v>
      </c>
      <c r="K77" s="329"/>
      <c r="L77" s="330"/>
      <c r="M77" s="46"/>
      <c r="N77" s="46"/>
      <c r="O77" s="46"/>
      <c r="P77" s="302"/>
    </row>
    <row r="78" spans="9:16" hidden="1">
      <c r="I78" s="305">
        <v>72</v>
      </c>
      <c r="J78" s="306" t="s">
        <v>355</v>
      </c>
      <c r="K78" s="329"/>
      <c r="L78" s="330"/>
      <c r="M78" s="46"/>
      <c r="N78" s="46"/>
      <c r="O78" s="46"/>
      <c r="P78" s="302"/>
    </row>
    <row r="79" spans="9:16" hidden="1">
      <c r="I79" s="305">
        <v>73</v>
      </c>
      <c r="J79" s="306" t="s">
        <v>356</v>
      </c>
      <c r="K79" s="329"/>
      <c r="L79" s="330"/>
      <c r="M79" s="46"/>
      <c r="N79" s="46"/>
      <c r="O79" s="46"/>
      <c r="P79" s="302"/>
    </row>
    <row r="80" spans="9:16" hidden="1">
      <c r="I80" s="305">
        <v>74</v>
      </c>
      <c r="J80" s="306" t="s">
        <v>357</v>
      </c>
      <c r="K80" s="329"/>
      <c r="L80" s="330"/>
      <c r="M80" s="46"/>
      <c r="N80" s="46"/>
      <c r="O80" s="46"/>
      <c r="P80" s="302"/>
    </row>
    <row r="81" spans="9:16" hidden="1">
      <c r="I81" s="305">
        <v>75</v>
      </c>
      <c r="J81" s="306" t="s">
        <v>358</v>
      </c>
      <c r="K81" s="329"/>
      <c r="L81" s="330"/>
      <c r="M81" s="46"/>
      <c r="N81" s="46"/>
      <c r="O81" s="46"/>
      <c r="P81" s="302"/>
    </row>
    <row r="82" spans="9:16" hidden="1">
      <c r="I82" s="305">
        <v>76</v>
      </c>
      <c r="J82" s="306" t="s">
        <v>359</v>
      </c>
      <c r="K82" s="329"/>
      <c r="L82" s="330"/>
      <c r="M82" s="46"/>
      <c r="N82" s="46"/>
      <c r="O82" s="46"/>
      <c r="P82" s="302"/>
    </row>
    <row r="83" spans="9:16" hidden="1">
      <c r="I83" s="305">
        <v>77</v>
      </c>
      <c r="J83" s="306" t="s">
        <v>360</v>
      </c>
      <c r="K83" s="329"/>
      <c r="L83" s="330"/>
      <c r="M83" s="46"/>
      <c r="N83" s="46"/>
      <c r="O83" s="46"/>
      <c r="P83" s="302"/>
    </row>
    <row r="84" spans="9:16" hidden="1">
      <c r="I84" s="305">
        <v>78</v>
      </c>
      <c r="J84" s="306" t="s">
        <v>361</v>
      </c>
      <c r="K84" s="329"/>
      <c r="L84" s="330"/>
      <c r="M84" s="46"/>
      <c r="N84" s="46"/>
      <c r="O84" s="46"/>
      <c r="P84" s="302"/>
    </row>
    <row r="85" spans="9:16" hidden="1">
      <c r="I85" s="305">
        <v>79</v>
      </c>
      <c r="J85" s="306" t="s">
        <v>362</v>
      </c>
      <c r="K85" s="329"/>
      <c r="L85" s="330"/>
      <c r="M85" s="46"/>
      <c r="N85" s="46"/>
      <c r="O85" s="46"/>
      <c r="P85" s="302"/>
    </row>
    <row r="86" spans="9:16" hidden="1">
      <c r="I86" s="305">
        <v>80</v>
      </c>
      <c r="J86" s="306" t="s">
        <v>363</v>
      </c>
      <c r="K86" s="329"/>
      <c r="L86" s="330"/>
      <c r="M86" s="46"/>
      <c r="N86" s="46"/>
      <c r="O86" s="46"/>
      <c r="P86" s="302"/>
    </row>
    <row r="87" spans="9:16" hidden="1">
      <c r="I87" s="305">
        <v>81</v>
      </c>
      <c r="J87" s="306" t="s">
        <v>364</v>
      </c>
      <c r="K87" s="329"/>
      <c r="L87" s="330"/>
      <c r="M87" s="46"/>
      <c r="N87" s="46"/>
      <c r="O87" s="46"/>
      <c r="P87" s="302"/>
    </row>
    <row r="88" spans="9:16" hidden="1">
      <c r="I88" s="305">
        <v>82</v>
      </c>
      <c r="J88" s="306" t="s">
        <v>365</v>
      </c>
      <c r="K88" s="329"/>
      <c r="L88" s="330"/>
      <c r="M88" s="46"/>
      <c r="N88" s="46"/>
      <c r="O88" s="46"/>
      <c r="P88" s="302"/>
    </row>
    <row r="89" spans="9:16" hidden="1">
      <c r="I89" s="305">
        <v>83</v>
      </c>
      <c r="J89" s="306" t="s">
        <v>366</v>
      </c>
      <c r="K89" s="329"/>
      <c r="L89" s="330"/>
      <c r="M89" s="46"/>
      <c r="N89" s="46"/>
      <c r="O89" s="46"/>
      <c r="P89" s="302"/>
    </row>
    <row r="90" spans="9:16" hidden="1">
      <c r="I90" s="305">
        <v>84</v>
      </c>
      <c r="J90" s="306" t="s">
        <v>367</v>
      </c>
      <c r="K90" s="329"/>
      <c r="L90" s="330"/>
      <c r="M90" s="46"/>
      <c r="N90" s="46"/>
      <c r="O90" s="46"/>
      <c r="P90" s="302"/>
    </row>
    <row r="91" spans="9:16" hidden="1">
      <c r="I91" s="305">
        <v>85</v>
      </c>
      <c r="J91" s="306" t="s">
        <v>368</v>
      </c>
      <c r="K91" s="329"/>
      <c r="L91" s="330"/>
      <c r="M91" s="46"/>
      <c r="N91" s="46"/>
      <c r="O91" s="46"/>
      <c r="P91" s="302"/>
    </row>
    <row r="92" spans="9:16" hidden="1">
      <c r="I92" s="305">
        <v>86</v>
      </c>
      <c r="J92" s="306" t="s">
        <v>369</v>
      </c>
      <c r="K92" s="329"/>
      <c r="L92" s="330"/>
      <c r="M92" s="46"/>
      <c r="N92" s="46"/>
      <c r="O92" s="46"/>
      <c r="P92" s="302"/>
    </row>
    <row r="93" spans="9:16" hidden="1">
      <c r="I93" s="305">
        <v>87</v>
      </c>
      <c r="J93" s="306" t="s">
        <v>370</v>
      </c>
      <c r="K93" s="329"/>
      <c r="L93" s="330"/>
      <c r="M93" s="46"/>
      <c r="N93" s="46"/>
      <c r="O93" s="46"/>
      <c r="P93" s="302"/>
    </row>
    <row r="94" spans="9:16" hidden="1">
      <c r="I94" s="305">
        <v>88</v>
      </c>
      <c r="J94" s="306" t="s">
        <v>371</v>
      </c>
      <c r="K94" s="329"/>
      <c r="L94" s="330"/>
      <c r="M94" s="46"/>
      <c r="N94" s="46"/>
      <c r="O94" s="46"/>
      <c r="P94" s="302"/>
    </row>
    <row r="95" spans="9:16" hidden="1">
      <c r="I95" s="305">
        <v>89</v>
      </c>
      <c r="J95" s="306" t="s">
        <v>372</v>
      </c>
      <c r="K95" s="329"/>
      <c r="L95" s="330"/>
      <c r="M95" s="46"/>
      <c r="N95" s="46"/>
      <c r="O95" s="46"/>
      <c r="P95" s="302"/>
    </row>
    <row r="96" spans="9:16" hidden="1">
      <c r="I96" s="305">
        <v>90</v>
      </c>
      <c r="J96" s="306" t="s">
        <v>373</v>
      </c>
      <c r="K96" s="306"/>
      <c r="L96" s="335"/>
      <c r="M96"/>
      <c r="N96"/>
      <c r="O96"/>
    </row>
    <row r="97" spans="9:15" hidden="1">
      <c r="I97" s="305">
        <v>91</v>
      </c>
      <c r="J97" s="306" t="s">
        <v>374</v>
      </c>
      <c r="K97" s="306"/>
      <c r="L97" s="335"/>
      <c r="M97"/>
      <c r="N97"/>
      <c r="O97"/>
    </row>
    <row r="98" spans="9:15" hidden="1">
      <c r="I98" s="305">
        <v>92</v>
      </c>
      <c r="J98" s="306" t="s">
        <v>375</v>
      </c>
      <c r="K98" s="306"/>
      <c r="L98" s="335"/>
      <c r="M98"/>
      <c r="N98"/>
      <c r="O98"/>
    </row>
    <row r="99" spans="9:15" hidden="1">
      <c r="I99" s="305">
        <v>93</v>
      </c>
      <c r="J99" s="306" t="s">
        <v>376</v>
      </c>
      <c r="K99" s="306"/>
      <c r="L99" s="335"/>
      <c r="M99"/>
      <c r="N99"/>
      <c r="O99"/>
    </row>
    <row r="100" spans="9:15" hidden="1">
      <c r="I100" s="305">
        <v>94</v>
      </c>
      <c r="J100" s="306" t="s">
        <v>377</v>
      </c>
      <c r="K100" s="306"/>
      <c r="L100" s="335"/>
      <c r="M100"/>
      <c r="N100"/>
      <c r="O100"/>
    </row>
    <row r="101" spans="9:15" hidden="1">
      <c r="I101" s="305">
        <v>95</v>
      </c>
      <c r="J101" s="306" t="s">
        <v>378</v>
      </c>
      <c r="K101" s="306"/>
      <c r="L101" s="335"/>
      <c r="M101"/>
      <c r="N101"/>
      <c r="O101"/>
    </row>
    <row r="102" spans="9:15" hidden="1">
      <c r="I102" s="305">
        <v>96</v>
      </c>
      <c r="J102" s="306" t="s">
        <v>379</v>
      </c>
      <c r="K102" s="306"/>
      <c r="L102" s="335"/>
      <c r="M102"/>
      <c r="N102"/>
      <c r="O102"/>
    </row>
    <row r="103" spans="9:15" hidden="1">
      <c r="I103" s="305">
        <v>97</v>
      </c>
      <c r="J103" s="306" t="s">
        <v>380</v>
      </c>
      <c r="K103" s="306"/>
      <c r="L103" s="335"/>
      <c r="M103"/>
      <c r="N103"/>
      <c r="O103"/>
    </row>
    <row r="104" spans="9:15" hidden="1">
      <c r="I104" s="305">
        <v>98</v>
      </c>
      <c r="J104" s="306" t="s">
        <v>381</v>
      </c>
      <c r="K104" s="306"/>
      <c r="L104" s="335"/>
      <c r="M104"/>
      <c r="N104"/>
      <c r="O104"/>
    </row>
    <row r="105" spans="9:15" hidden="1">
      <c r="I105" s="305">
        <v>99</v>
      </c>
      <c r="J105" s="306" t="s">
        <v>382</v>
      </c>
      <c r="K105"/>
      <c r="L105" s="335"/>
      <c r="M105"/>
      <c r="N105"/>
      <c r="O105"/>
    </row>
    <row r="106" spans="9:15" hidden="1">
      <c r="I106">
        <v>100</v>
      </c>
      <c r="J106" t="s">
        <v>383</v>
      </c>
      <c r="K106"/>
      <c r="L106" s="335"/>
      <c r="M106"/>
      <c r="N106"/>
      <c r="O106"/>
    </row>
    <row r="107" spans="9:15" hidden="1">
      <c r="I107">
        <v>1000</v>
      </c>
      <c r="J107" t="s">
        <v>384</v>
      </c>
      <c r="K107"/>
      <c r="L107" s="335"/>
      <c r="M107"/>
      <c r="N107"/>
      <c r="O107"/>
    </row>
    <row r="108" spans="9:15" hidden="1">
      <c r="I108">
        <v>100000</v>
      </c>
      <c r="J108" t="s">
        <v>385</v>
      </c>
      <c r="K108"/>
      <c r="L108" s="335"/>
      <c r="M108"/>
      <c r="N108"/>
      <c r="O108"/>
    </row>
    <row r="109" spans="9:15" hidden="1">
      <c r="I109">
        <v>10000000</v>
      </c>
      <c r="J109" t="s">
        <v>386</v>
      </c>
      <c r="K109"/>
      <c r="L109" s="335"/>
      <c r="M109"/>
      <c r="N109"/>
      <c r="O109"/>
    </row>
  </sheetData>
  <sheetProtection password="DD74" sheet="1" objects="1" scenarios="1" selectLockedCells="1"/>
  <mergeCells count="59">
    <mergeCell ref="A12:F12"/>
    <mergeCell ref="A15:F15"/>
    <mergeCell ref="A56:F56"/>
    <mergeCell ref="A59:B59"/>
    <mergeCell ref="D59:F59"/>
    <mergeCell ref="A28:F28"/>
    <mergeCell ref="A29:F29"/>
    <mergeCell ref="A30:A31"/>
    <mergeCell ref="B30:B31"/>
    <mergeCell ref="C30:F30"/>
    <mergeCell ref="C44:F44"/>
    <mergeCell ref="A46:F46"/>
    <mergeCell ref="A47:A48"/>
    <mergeCell ref="B47:B48"/>
    <mergeCell ref="C47:F47"/>
    <mergeCell ref="A13:B13"/>
    <mergeCell ref="A60:B60"/>
    <mergeCell ref="D60:F60"/>
    <mergeCell ref="A26:C26"/>
    <mergeCell ref="A16:D16"/>
    <mergeCell ref="E16:F16"/>
    <mergeCell ref="A17:D18"/>
    <mergeCell ref="E17:F17"/>
    <mergeCell ref="E18:F18"/>
    <mergeCell ref="A19:F20"/>
    <mergeCell ref="A21:B21"/>
    <mergeCell ref="A22:B22"/>
    <mergeCell ref="A23:B23"/>
    <mergeCell ref="A24:B24"/>
    <mergeCell ref="A25:B25"/>
    <mergeCell ref="C53:F53"/>
    <mergeCell ref="A55:F55"/>
    <mergeCell ref="C13:D13"/>
    <mergeCell ref="E13:F13"/>
    <mergeCell ref="A14:B14"/>
    <mergeCell ref="C14:D14"/>
    <mergeCell ref="E14:F14"/>
    <mergeCell ref="A10:B10"/>
    <mergeCell ref="C10:D10"/>
    <mergeCell ref="E10:F10"/>
    <mergeCell ref="A11:B11"/>
    <mergeCell ref="C11:D11"/>
    <mergeCell ref="E11:F11"/>
    <mergeCell ref="A8:B8"/>
    <mergeCell ref="C8:D8"/>
    <mergeCell ref="E8:F8"/>
    <mergeCell ref="A9:B9"/>
    <mergeCell ref="C9:D9"/>
    <mergeCell ref="E9:F9"/>
    <mergeCell ref="A7:B7"/>
    <mergeCell ref="C7:D7"/>
    <mergeCell ref="E7:F7"/>
    <mergeCell ref="A1:F1"/>
    <mergeCell ref="A3:F3"/>
    <mergeCell ref="A4:F4"/>
    <mergeCell ref="A5:B5"/>
    <mergeCell ref="C5:D5"/>
    <mergeCell ref="A2:F2"/>
    <mergeCell ref="A6:F6"/>
  </mergeCells>
  <printOptions horizontalCentered="1" verticalCentered="1"/>
  <pageMargins left="0.5" right="0.5" top="0.5" bottom="0.5" header="0.5" footer="0.4"/>
  <pageSetup paperSize="9" orientation="portrait" r:id="rId1"/>
  <headerFooter>
    <oddHeader>&amp;C&amp;G</oddHeader>
    <oddFooter>&amp;RPage &amp;P of &amp;N</oddFooter>
  </headerFooter>
  <rowBreaks count="1" manualBreakCount="1">
    <brk id="2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school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I.T Calculator 2021-22</dc:title>
  <dc:subject/>
  <dc:creator>Selva.Ranjith Kumar</dc:creator>
  <cp:keywords/>
  <dc:description/>
  <cp:lastModifiedBy>Ranjith Selva</cp:lastModifiedBy>
  <cp:revision/>
  <dcterms:created xsi:type="dcterms:W3CDTF">2010-01-28T20:26:16Z</dcterms:created>
  <dcterms:modified xsi:type="dcterms:W3CDTF">2024-12-12T10:42:36Z</dcterms:modified>
  <cp:category/>
  <cp:contentStatus/>
</cp:coreProperties>
</file>