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485" activeTab="1"/>
  </bookViews>
  <sheets>
    <sheet name="Note" sheetId="1" r:id="rId1"/>
    <sheet name="Enter" sheetId="2" r:id="rId2"/>
    <sheet name="Old method" sheetId="3" r:id="rId3"/>
    <sheet name="New method" sheetId="4" r:id="rId4"/>
  </sheets>
  <calcPr calcId="124519"/>
</workbook>
</file>

<file path=xl/calcChain.xml><?xml version="1.0" encoding="utf-8"?>
<calcChain xmlns="http://schemas.openxmlformats.org/spreadsheetml/2006/main">
  <c r="F16" i="2"/>
  <c r="F15"/>
  <c r="D89"/>
  <c r="M103"/>
  <c r="AJ29" i="3"/>
  <c r="AK28"/>
  <c r="AG41"/>
  <c r="I34"/>
  <c r="AH4"/>
  <c r="AH5"/>
  <c r="AH6"/>
  <c r="AH7"/>
  <c r="AH8"/>
  <c r="AH3"/>
  <c r="AG4"/>
  <c r="AG5"/>
  <c r="AG6"/>
  <c r="AG7"/>
  <c r="AG8"/>
  <c r="AG3"/>
  <c r="U4"/>
  <c r="U5"/>
  <c r="U6"/>
  <c r="U7"/>
  <c r="U8"/>
  <c r="U3"/>
  <c r="AB4"/>
  <c r="AB5"/>
  <c r="AB6"/>
  <c r="AB7"/>
  <c r="AB8"/>
  <c r="AB3"/>
  <c r="F23" i="2"/>
  <c r="F24"/>
  <c r="F25"/>
  <c r="F26"/>
  <c r="F22"/>
  <c r="F21"/>
  <c r="F17"/>
  <c r="F18"/>
  <c r="F19"/>
  <c r="F20"/>
  <c r="AL30" i="3" l="1"/>
  <c r="AL31"/>
  <c r="AL32"/>
  <c r="AL33"/>
  <c r="AL34"/>
  <c r="AL35"/>
  <c r="AL36"/>
  <c r="AL37"/>
  <c r="AL38"/>
  <c r="AL39"/>
  <c r="AL29"/>
  <c r="N20" i="2"/>
  <c r="N19"/>
  <c r="I41" i="3"/>
  <c r="AV46" s="1"/>
  <c r="V25" i="2"/>
  <c r="V24"/>
  <c r="V23" i="4" s="1"/>
  <c r="V23" i="2"/>
  <c r="V22"/>
  <c r="V21"/>
  <c r="V20"/>
  <c r="V19"/>
  <c r="V18"/>
  <c r="V17"/>
  <c r="V16"/>
  <c r="S23" i="4"/>
  <c r="S14"/>
  <c r="I20" i="3"/>
  <c r="I19"/>
  <c r="AD28"/>
  <c r="AC28"/>
  <c r="AB28"/>
  <c r="Z28"/>
  <c r="AH40"/>
  <c r="V34" i="4"/>
  <c r="V33"/>
  <c r="V32"/>
  <c r="V31"/>
  <c r="V30"/>
  <c r="V29"/>
  <c r="V28"/>
  <c r="U34"/>
  <c r="U33"/>
  <c r="U32"/>
  <c r="U31"/>
  <c r="U30"/>
  <c r="U29"/>
  <c r="U28"/>
  <c r="T34"/>
  <c r="T33"/>
  <c r="T32"/>
  <c r="T31"/>
  <c r="T30"/>
  <c r="T29"/>
  <c r="T28"/>
  <c r="S34"/>
  <c r="S33"/>
  <c r="S32"/>
  <c r="S31"/>
  <c r="S30"/>
  <c r="S29"/>
  <c r="S28"/>
  <c r="R34"/>
  <c r="R33"/>
  <c r="R32"/>
  <c r="R31"/>
  <c r="R30"/>
  <c r="R29"/>
  <c r="R28"/>
  <c r="Q34"/>
  <c r="Q33"/>
  <c r="Q32"/>
  <c r="Q31"/>
  <c r="Q30"/>
  <c r="Q29"/>
  <c r="Q28"/>
  <c r="P34"/>
  <c r="P33"/>
  <c r="P32"/>
  <c r="P31"/>
  <c r="P30"/>
  <c r="P29"/>
  <c r="P28"/>
  <c r="O34"/>
  <c r="O33"/>
  <c r="O32"/>
  <c r="O31"/>
  <c r="O30"/>
  <c r="O29"/>
  <c r="O28"/>
  <c r="N34"/>
  <c r="N33"/>
  <c r="N32"/>
  <c r="N31"/>
  <c r="N30"/>
  <c r="N29"/>
  <c r="N28"/>
  <c r="L34"/>
  <c r="L33"/>
  <c r="L32"/>
  <c r="L31"/>
  <c r="L29"/>
  <c r="L28"/>
  <c r="K34"/>
  <c r="K33"/>
  <c r="K32"/>
  <c r="K31"/>
  <c r="K30"/>
  <c r="K29"/>
  <c r="K28"/>
  <c r="J34"/>
  <c r="J33"/>
  <c r="J32"/>
  <c r="J31"/>
  <c r="J28"/>
  <c r="I34"/>
  <c r="I33"/>
  <c r="I32"/>
  <c r="I31"/>
  <c r="I28"/>
  <c r="H34"/>
  <c r="H33"/>
  <c r="H32"/>
  <c r="H31"/>
  <c r="H30"/>
  <c r="H29"/>
  <c r="H28"/>
  <c r="G34"/>
  <c r="G33"/>
  <c r="G32"/>
  <c r="G31"/>
  <c r="G29"/>
  <c r="G28"/>
  <c r="F34"/>
  <c r="F33"/>
  <c r="F32"/>
  <c r="F31"/>
  <c r="F29"/>
  <c r="F28"/>
  <c r="V27"/>
  <c r="U27"/>
  <c r="T27"/>
  <c r="S27"/>
  <c r="R27"/>
  <c r="Q27"/>
  <c r="P27"/>
  <c r="O27"/>
  <c r="L27"/>
  <c r="K27"/>
  <c r="J27"/>
  <c r="I27"/>
  <c r="H27"/>
  <c r="G27"/>
  <c r="F27"/>
  <c r="B34"/>
  <c r="B33"/>
  <c r="B32"/>
  <c r="B31"/>
  <c r="B30"/>
  <c r="B29"/>
  <c r="B28"/>
  <c r="B27"/>
  <c r="Y45" i="3"/>
  <c r="Y41"/>
  <c r="U45"/>
  <c r="N26" i="4"/>
  <c r="D81" i="2"/>
  <c r="N24"/>
  <c r="N23"/>
  <c r="N22"/>
  <c r="N21"/>
  <c r="N18"/>
  <c r="N17"/>
  <c r="N16"/>
  <c r="N15"/>
  <c r="AH65" i="4"/>
  <c r="AV59"/>
  <c r="AX59" s="1"/>
  <c r="Z57"/>
  <c r="AX52"/>
  <c r="AW56" s="1"/>
  <c r="AX56" s="1"/>
  <c r="AW51"/>
  <c r="AU51"/>
  <c r="AV51" s="1"/>
  <c r="AV50"/>
  <c r="AW50" s="1"/>
  <c r="AW49"/>
  <c r="AV49"/>
  <c r="I48"/>
  <c r="V26"/>
  <c r="U26"/>
  <c r="R26"/>
  <c r="Q26"/>
  <c r="P26"/>
  <c r="O26"/>
  <c r="L26"/>
  <c r="K26"/>
  <c r="J26"/>
  <c r="I26"/>
  <c r="H26"/>
  <c r="G26"/>
  <c r="B26"/>
  <c r="U25"/>
  <c r="O25"/>
  <c r="B25"/>
  <c r="U24"/>
  <c r="T24"/>
  <c r="O24"/>
  <c r="B24"/>
  <c r="U23"/>
  <c r="O23"/>
  <c r="H23"/>
  <c r="B23"/>
  <c r="U22"/>
  <c r="O22"/>
  <c r="L22"/>
  <c r="H22"/>
  <c r="B22"/>
  <c r="U21"/>
  <c r="O21"/>
  <c r="H21"/>
  <c r="B21"/>
  <c r="U20"/>
  <c r="O20"/>
  <c r="H20"/>
  <c r="B20"/>
  <c r="U19"/>
  <c r="T19"/>
  <c r="O19"/>
  <c r="H19"/>
  <c r="B19"/>
  <c r="U18"/>
  <c r="O18"/>
  <c r="H18"/>
  <c r="B18"/>
  <c r="U17"/>
  <c r="O17"/>
  <c r="H17"/>
  <c r="B17"/>
  <c r="U16"/>
  <c r="O16"/>
  <c r="H16"/>
  <c r="B16"/>
  <c r="U15"/>
  <c r="O15"/>
  <c r="H15"/>
  <c r="B15"/>
  <c r="U14"/>
  <c r="R14"/>
  <c r="Q14"/>
  <c r="P14"/>
  <c r="O14"/>
  <c r="L14"/>
  <c r="K14"/>
  <c r="J14"/>
  <c r="I14"/>
  <c r="H14"/>
  <c r="G14"/>
  <c r="B14"/>
  <c r="A6"/>
  <c r="A47" s="1"/>
  <c r="C5"/>
  <c r="C46" s="1"/>
  <c r="R4"/>
  <c r="R45" s="1"/>
  <c r="D4"/>
  <c r="D45" s="1"/>
  <c r="S3"/>
  <c r="S44" s="1"/>
  <c r="D3"/>
  <c r="D44" s="1"/>
  <c r="R2"/>
  <c r="R43" s="1"/>
  <c r="C2"/>
  <c r="C43" s="1"/>
  <c r="AF61" i="3"/>
  <c r="X61"/>
  <c r="Q56"/>
  <c r="M56"/>
  <c r="AT55"/>
  <c r="AV55" s="1"/>
  <c r="Q54"/>
  <c r="M54"/>
  <c r="M41"/>
  <c r="AN39"/>
  <c r="U39"/>
  <c r="AN38"/>
  <c r="AM38"/>
  <c r="U38"/>
  <c r="AN37"/>
  <c r="AA37"/>
  <c r="U37"/>
  <c r="AQ18"/>
  <c r="Y18" s="1"/>
  <c r="AN36"/>
  <c r="AE36"/>
  <c r="AA36"/>
  <c r="U36"/>
  <c r="AN35"/>
  <c r="AA35"/>
  <c r="U35"/>
  <c r="AN34"/>
  <c r="AA34"/>
  <c r="U34"/>
  <c r="AN33"/>
  <c r="AM33"/>
  <c r="AA33"/>
  <c r="U33"/>
  <c r="AN32"/>
  <c r="AA32"/>
  <c r="U32"/>
  <c r="AN31"/>
  <c r="AA31"/>
  <c r="U31"/>
  <c r="AN30"/>
  <c r="AA30"/>
  <c r="U30"/>
  <c r="AN29"/>
  <c r="AA29"/>
  <c r="U29"/>
  <c r="AN28"/>
  <c r="AJ28"/>
  <c r="AI28"/>
  <c r="AE28"/>
  <c r="AA28"/>
  <c r="U28"/>
  <c r="I28"/>
  <c r="I27"/>
  <c r="I25"/>
  <c r="I24"/>
  <c r="I23"/>
  <c r="I21"/>
  <c r="I17"/>
  <c r="A6"/>
  <c r="C5"/>
  <c r="N4"/>
  <c r="D4"/>
  <c r="N3"/>
  <c r="D3"/>
  <c r="N2"/>
  <c r="C2"/>
  <c r="D106" i="2"/>
  <c r="D105"/>
  <c r="H97"/>
  <c r="S66" i="4" s="1"/>
  <c r="H96" i="2"/>
  <c r="S65" i="4" s="1"/>
  <c r="H70" i="2"/>
  <c r="I62"/>
  <c r="O45"/>
  <c r="O44"/>
  <c r="O43"/>
  <c r="O42"/>
  <c r="O41"/>
  <c r="O40"/>
  <c r="U36"/>
  <c r="U35" i="4" s="1"/>
  <c r="T36" i="2"/>
  <c r="T35" i="4" s="1"/>
  <c r="O36" i="2"/>
  <c r="AH49" i="3" s="1"/>
  <c r="B36" i="2"/>
  <c r="B35" i="4" s="1"/>
  <c r="M35" i="2"/>
  <c r="M34"/>
  <c r="M34" i="4" s="1"/>
  <c r="M33" i="2"/>
  <c r="M33" i="4" s="1"/>
  <c r="M32" i="2"/>
  <c r="M32" i="4" s="1"/>
  <c r="M31" i="2"/>
  <c r="M31" i="4" s="1"/>
  <c r="M28" i="2"/>
  <c r="M28" i="4" s="1"/>
  <c r="M27" i="2"/>
  <c r="M26" i="4" s="1"/>
  <c r="V26" i="2"/>
  <c r="AO39" i="3" s="1"/>
  <c r="V24" i="4"/>
  <c r="H24"/>
  <c r="L24" i="2"/>
  <c r="L23" i="4" s="1"/>
  <c r="AO36" i="3"/>
  <c r="S15" i="4"/>
  <c r="R16" i="2"/>
  <c r="Q16"/>
  <c r="Q17" s="1"/>
  <c r="P16"/>
  <c r="L16"/>
  <c r="L17" s="1"/>
  <c r="K16"/>
  <c r="AD29" i="3" s="1"/>
  <c r="J16" i="2"/>
  <c r="AC29" i="3" s="1"/>
  <c r="I16" i="2"/>
  <c r="AB29" i="3" s="1"/>
  <c r="G16" i="2"/>
  <c r="G17" s="1"/>
  <c r="V15"/>
  <c r="AK29" i="3" l="1"/>
  <c r="J17" i="2"/>
  <c r="O35" i="4"/>
  <c r="AL40" i="3"/>
  <c r="F24" i="4"/>
  <c r="N25" i="2"/>
  <c r="AN40" i="3"/>
  <c r="F25" i="4"/>
  <c r="N26" i="2"/>
  <c r="AM40" i="3"/>
  <c r="D82" i="2"/>
  <c r="AM49" i="3"/>
  <c r="S24" i="4"/>
  <c r="S25"/>
  <c r="Z29" i="3"/>
  <c r="AF45"/>
  <c r="N27" i="4"/>
  <c r="AF41" i="3"/>
  <c r="M27" i="4"/>
  <c r="U40" i="3"/>
  <c r="O46" i="2"/>
  <c r="AN49" i="3"/>
  <c r="M55" s="1"/>
  <c r="G16" i="4"/>
  <c r="Z30" i="3"/>
  <c r="F26" i="4"/>
  <c r="F15"/>
  <c r="Y29" i="3"/>
  <c r="K15" i="4"/>
  <c r="V15"/>
  <c r="AO29" i="3"/>
  <c r="N16" i="4"/>
  <c r="AG30" i="3"/>
  <c r="Q16" i="4"/>
  <c r="AJ30" i="3"/>
  <c r="F17" i="4"/>
  <c r="Y31" i="3"/>
  <c r="AO31"/>
  <c r="V17" i="4"/>
  <c r="N18"/>
  <c r="AG32" i="3"/>
  <c r="F19" i="4"/>
  <c r="Y33" i="3"/>
  <c r="F20" i="4"/>
  <c r="Y34" i="3"/>
  <c r="AO34"/>
  <c r="V20" i="4"/>
  <c r="N21"/>
  <c r="AG35" i="3"/>
  <c r="F22" i="4"/>
  <c r="F36" i="2"/>
  <c r="Y49" i="3" s="1"/>
  <c r="Y36"/>
  <c r="F23" i="4"/>
  <c r="Y37" i="3"/>
  <c r="Y28"/>
  <c r="F14" i="4"/>
  <c r="I15"/>
  <c r="P15"/>
  <c r="AI29" i="3"/>
  <c r="R15" i="4"/>
  <c r="L16"/>
  <c r="AE30" i="3"/>
  <c r="V14" i="4"/>
  <c r="V36" i="2"/>
  <c r="H95" s="1"/>
  <c r="S64" i="4" s="1"/>
  <c r="AO28" i="3"/>
  <c r="G15" i="4"/>
  <c r="J15"/>
  <c r="L15"/>
  <c r="AE29" i="3"/>
  <c r="Q15" i="4"/>
  <c r="F16"/>
  <c r="Y30" i="3"/>
  <c r="V16" i="4"/>
  <c r="AO30" i="3"/>
  <c r="F18" i="4"/>
  <c r="Y32" i="3"/>
  <c r="V18" i="4"/>
  <c r="AO32" i="3"/>
  <c r="V19" i="4"/>
  <c r="AO33" i="3"/>
  <c r="F21" i="4"/>
  <c r="Y35" i="3"/>
  <c r="V21" i="4"/>
  <c r="AO35" i="3"/>
  <c r="M16" i="2"/>
  <c r="M15"/>
  <c r="I17"/>
  <c r="AB30" i="3" s="1"/>
  <c r="K17" i="2"/>
  <c r="AD30" i="3" s="1"/>
  <c r="P17" i="2"/>
  <c r="R17"/>
  <c r="AK30" i="3" s="1"/>
  <c r="G18" i="2"/>
  <c r="Z31" i="3" s="1"/>
  <c r="J18" i="2"/>
  <c r="AC31" i="3" s="1"/>
  <c r="L18" i="2"/>
  <c r="Q18"/>
  <c r="L25"/>
  <c r="AE37" i="3"/>
  <c r="Y38"/>
  <c r="AO38"/>
  <c r="Y39"/>
  <c r="U49"/>
  <c r="V22" i="4"/>
  <c r="V25"/>
  <c r="H36" i="2"/>
  <c r="AO37" i="3"/>
  <c r="AA38"/>
  <c r="I16"/>
  <c r="I18" s="1"/>
  <c r="AU34" s="1"/>
  <c r="AT34" s="1"/>
  <c r="M18" s="1"/>
  <c r="AX53" i="4"/>
  <c r="J16" l="1"/>
  <c r="AC30" i="3"/>
  <c r="M17" i="2"/>
  <c r="M16" i="4" s="1"/>
  <c r="S16"/>
  <c r="V35"/>
  <c r="AO49" i="3"/>
  <c r="Q55" s="1"/>
  <c r="D104" i="2"/>
  <c r="H35" i="4"/>
  <c r="AA49" i="3"/>
  <c r="I13" s="1"/>
  <c r="I14" s="1"/>
  <c r="F30" i="4"/>
  <c r="AO40" i="3"/>
  <c r="Y40"/>
  <c r="AH11"/>
  <c r="N25" i="4"/>
  <c r="AG39" i="3"/>
  <c r="N24" i="4"/>
  <c r="AG38" i="3"/>
  <c r="N20" i="4"/>
  <c r="AG34" i="3"/>
  <c r="N17" i="4"/>
  <c r="AG31" i="3"/>
  <c r="J17" i="4"/>
  <c r="J19" i="2"/>
  <c r="AC32" i="3" s="1"/>
  <c r="R16" i="4"/>
  <c r="R18" i="2"/>
  <c r="AK31" i="3" s="1"/>
  <c r="I16" i="4"/>
  <c r="I18" i="2"/>
  <c r="AB31" i="3" s="1"/>
  <c r="N15" i="4"/>
  <c r="AG29" i="3"/>
  <c r="M15" i="4"/>
  <c r="AF29" i="3"/>
  <c r="N22" i="4"/>
  <c r="AG36" i="3"/>
  <c r="H25" i="4"/>
  <c r="AA39" i="3"/>
  <c r="AA40" s="1"/>
  <c r="L24" i="4"/>
  <c r="AE38" i="3"/>
  <c r="L26" i="2"/>
  <c r="N19" i="4"/>
  <c r="AG33" i="3"/>
  <c r="Q17" i="4"/>
  <c r="AJ31" i="3"/>
  <c r="Q19" i="2"/>
  <c r="Q20" s="1"/>
  <c r="L17" i="4"/>
  <c r="AE31" i="3"/>
  <c r="L19" i="2"/>
  <c r="G17" i="4"/>
  <c r="G19" i="2"/>
  <c r="Z32" i="3" s="1"/>
  <c r="AI30"/>
  <c r="P16" i="4"/>
  <c r="P18" i="2"/>
  <c r="K16" i="4"/>
  <c r="K18" i="2"/>
  <c r="AD31" i="3" s="1"/>
  <c r="M14" i="4"/>
  <c r="AF28" i="3"/>
  <c r="AG28"/>
  <c r="N36" i="2"/>
  <c r="N14" i="4"/>
  <c r="F35"/>
  <c r="N23"/>
  <c r="AG37" i="3"/>
  <c r="D84" i="2"/>
  <c r="M84" s="1"/>
  <c r="F11" i="3"/>
  <c r="I11" s="1"/>
  <c r="AF30" l="1"/>
  <c r="AQ17"/>
  <c r="Y17" s="1"/>
  <c r="I33"/>
  <c r="I7"/>
  <c r="E10" s="1"/>
  <c r="AQ16" s="1"/>
  <c r="S17" i="4"/>
  <c r="Q21" i="2"/>
  <c r="Q19" i="4"/>
  <c r="AJ33" i="3"/>
  <c r="N35" i="4"/>
  <c r="AG49" i="3"/>
  <c r="AG40"/>
  <c r="K17" i="4"/>
  <c r="K19" i="2"/>
  <c r="AD32" i="3" s="1"/>
  <c r="P17" i="4"/>
  <c r="AI31" i="3"/>
  <c r="P19" i="2"/>
  <c r="Q18" i="4"/>
  <c r="AJ32" i="3"/>
  <c r="L25" i="4"/>
  <c r="AE39" i="3"/>
  <c r="G18" i="4"/>
  <c r="G20" i="2"/>
  <c r="Z33" i="3" s="1"/>
  <c r="L18" i="4"/>
  <c r="AE32" i="3"/>
  <c r="L20" i="2"/>
  <c r="I17" i="4"/>
  <c r="I19" i="2"/>
  <c r="AB32" i="3" s="1"/>
  <c r="R17" i="4"/>
  <c r="R19" i="2"/>
  <c r="AK32" i="3" s="1"/>
  <c r="J18" i="4"/>
  <c r="J20" i="2"/>
  <c r="AC33" i="3" s="1"/>
  <c r="M18" i="2"/>
  <c r="AQ10" i="3" l="1"/>
  <c r="AS10" s="1"/>
  <c r="AT10" s="1"/>
  <c r="I10" s="1"/>
  <c r="S18" i="4"/>
  <c r="Q22" i="2"/>
  <c r="AJ34" i="3"/>
  <c r="Q20" i="4"/>
  <c r="AF31" i="3"/>
  <c r="M17" i="4"/>
  <c r="L19"/>
  <c r="AE33" i="3"/>
  <c r="L21" i="2"/>
  <c r="AI32" i="3"/>
  <c r="P18" i="4"/>
  <c r="P20" i="2"/>
  <c r="J19" i="4"/>
  <c r="J29" i="2"/>
  <c r="J29" i="4" s="1"/>
  <c r="J21" i="2"/>
  <c r="AC34" i="3" s="1"/>
  <c r="R18" i="4"/>
  <c r="R20" i="2"/>
  <c r="AK33" i="3" s="1"/>
  <c r="I18" i="4"/>
  <c r="I20" i="2"/>
  <c r="AB33" i="3" s="1"/>
  <c r="G19" i="4"/>
  <c r="G21" i="2"/>
  <c r="Z34" i="3" s="1"/>
  <c r="K18" i="4"/>
  <c r="K20" i="2"/>
  <c r="AD33" i="3" s="1"/>
  <c r="M19" i="2"/>
  <c r="AS11" i="3" l="1"/>
  <c r="AT11" s="1"/>
  <c r="AT12" s="1"/>
  <c r="AU15" s="1"/>
  <c r="AT14"/>
  <c r="S19" i="4"/>
  <c r="Q23" i="2"/>
  <c r="AJ35" i="3"/>
  <c r="Q21" i="4"/>
  <c r="M18"/>
  <c r="AF32" i="3"/>
  <c r="G20" i="4"/>
  <c r="G22" i="2"/>
  <c r="Z35" i="3" s="1"/>
  <c r="I19" i="4"/>
  <c r="I29" i="2"/>
  <c r="I29" i="4" s="1"/>
  <c r="I21" i="2"/>
  <c r="AB34" i="3" s="1"/>
  <c r="J20" i="4"/>
  <c r="J22" i="2"/>
  <c r="AC35" i="3" s="1"/>
  <c r="AC16"/>
  <c r="G10" s="1"/>
  <c r="I12"/>
  <c r="K19" i="4"/>
  <c r="K21" i="2"/>
  <c r="AD34" i="3" s="1"/>
  <c r="R19" i="4"/>
  <c r="R21" i="2"/>
  <c r="AK34" i="3" s="1"/>
  <c r="P19" i="4"/>
  <c r="AI33" i="3"/>
  <c r="P21" i="2"/>
  <c r="L20" i="4"/>
  <c r="AE34" i="3"/>
  <c r="L22" i="2"/>
  <c r="M20"/>
  <c r="S20" i="4" l="1"/>
  <c r="Q24" i="2"/>
  <c r="Q22" i="4"/>
  <c r="AJ36" i="3"/>
  <c r="AF33"/>
  <c r="AP33" s="1"/>
  <c r="M19" i="4"/>
  <c r="L30" i="2"/>
  <c r="L30" i="4" s="1"/>
  <c r="L21"/>
  <c r="AE35" i="3"/>
  <c r="AE40" s="1"/>
  <c r="R20" i="4"/>
  <c r="R22" i="2"/>
  <c r="AK35" i="3" s="1"/>
  <c r="K20" i="4"/>
  <c r="K22" i="2"/>
  <c r="AD35" i="3" s="1"/>
  <c r="M29" i="2"/>
  <c r="P20" i="4"/>
  <c r="AI34" i="3"/>
  <c r="P22" i="2"/>
  <c r="J21" i="4"/>
  <c r="J23" i="2"/>
  <c r="AC36" i="3" s="1"/>
  <c r="I20" i="4"/>
  <c r="I22" i="2"/>
  <c r="AB35" i="3" s="1"/>
  <c r="G21" i="4"/>
  <c r="G23" i="2"/>
  <c r="Z36" i="3" s="1"/>
  <c r="M21" i="2"/>
  <c r="S22" i="4" l="1"/>
  <c r="S21"/>
  <c r="S36" i="2"/>
  <c r="AJ37" i="3"/>
  <c r="Q23" i="4"/>
  <c r="Q25" i="2"/>
  <c r="M22"/>
  <c r="M21" i="4" s="1"/>
  <c r="M29"/>
  <c r="AF34" i="3"/>
  <c r="M20" i="4"/>
  <c r="I21"/>
  <c r="I23" i="2"/>
  <c r="AB36" i="3" s="1"/>
  <c r="AI35"/>
  <c r="P23" i="2"/>
  <c r="P21" i="4"/>
  <c r="G24" i="2"/>
  <c r="Z37" i="3" s="1"/>
  <c r="G22" i="4"/>
  <c r="G30" i="2"/>
  <c r="J22" i="4"/>
  <c r="J24" i="2"/>
  <c r="AC37" i="3" s="1"/>
  <c r="J30" i="2"/>
  <c r="J30" i="4" s="1"/>
  <c r="K21"/>
  <c r="K23" i="2"/>
  <c r="AD36" i="3" s="1"/>
  <c r="R23" i="2"/>
  <c r="AK36" i="3" s="1"/>
  <c r="R21" i="4"/>
  <c r="L36" i="2"/>
  <c r="L35" i="4" l="1"/>
  <c r="AE49" i="3"/>
  <c r="AF35"/>
  <c r="S26" i="4"/>
  <c r="S35"/>
  <c r="AL49" i="3"/>
  <c r="AJ38"/>
  <c r="Q24" i="4"/>
  <c r="Q26" i="2"/>
  <c r="Q36"/>
  <c r="G30" i="4"/>
  <c r="K22"/>
  <c r="K24" i="2"/>
  <c r="AD37" i="3" s="1"/>
  <c r="M23" i="2"/>
  <c r="R22" i="4"/>
  <c r="R24" i="2"/>
  <c r="AK37" i="3" s="1"/>
  <c r="J23" i="4"/>
  <c r="J25" i="2"/>
  <c r="AC38" i="3" s="1"/>
  <c r="G23" i="4"/>
  <c r="G25" i="2"/>
  <c r="Z38" i="3" s="1"/>
  <c r="P22" i="4"/>
  <c r="AI36" i="3"/>
  <c r="P24" i="2"/>
  <c r="I30"/>
  <c r="I30" i="4" s="1"/>
  <c r="I22"/>
  <c r="I24" i="2"/>
  <c r="AB37" i="3" s="1"/>
  <c r="M30" i="2" l="1"/>
  <c r="M30" i="4" s="1"/>
  <c r="AJ49" i="3"/>
  <c r="Q35" i="4"/>
  <c r="Q25"/>
  <c r="AJ39" i="3"/>
  <c r="AJ40" s="1"/>
  <c r="G26" i="2"/>
  <c r="Z39" i="3" s="1"/>
  <c r="Z40" s="1"/>
  <c r="G24" i="4"/>
  <c r="I23"/>
  <c r="I25" i="2"/>
  <c r="AB38" i="3" s="1"/>
  <c r="J24" i="4"/>
  <c r="J26" i="2"/>
  <c r="AC39" i="3" s="1"/>
  <c r="AC40" s="1"/>
  <c r="R25" i="2"/>
  <c r="AK38" i="3" s="1"/>
  <c r="R23" i="4"/>
  <c r="AF36" i="3"/>
  <c r="M22" i="4"/>
  <c r="M24" i="2"/>
  <c r="AI37" i="3"/>
  <c r="P25" i="2"/>
  <c r="P23" i="4"/>
  <c r="K23"/>
  <c r="K25" i="2"/>
  <c r="AD38" i="3" s="1"/>
  <c r="M25" i="2" l="1"/>
  <c r="AF38" i="3" s="1"/>
  <c r="AP38" s="1"/>
  <c r="J25" i="4"/>
  <c r="J36" i="2"/>
  <c r="P24" i="4"/>
  <c r="AI38" i="3"/>
  <c r="P26" i="2"/>
  <c r="M23" i="4"/>
  <c r="AF37" i="3"/>
  <c r="R24" i="4"/>
  <c r="R26" i="2"/>
  <c r="AK39" i="3" s="1"/>
  <c r="AK40" s="1"/>
  <c r="G25" i="4"/>
  <c r="K26" i="2"/>
  <c r="AD39" i="3" s="1"/>
  <c r="AD40" s="1"/>
  <c r="K24" i="4"/>
  <c r="I26" i="2"/>
  <c r="AB39" i="3" s="1"/>
  <c r="AB40" s="1"/>
  <c r="I24" i="4"/>
  <c r="G36" i="2"/>
  <c r="AC49" i="3" l="1"/>
  <c r="J35" i="4"/>
  <c r="M24"/>
  <c r="Z49" i="3"/>
  <c r="G35" i="4"/>
  <c r="K25"/>
  <c r="K36" i="2"/>
  <c r="I25" i="4"/>
  <c r="I36" i="2"/>
  <c r="R25" i="4"/>
  <c r="R36" i="2"/>
  <c r="P25" i="4"/>
  <c r="AI39" i="3"/>
  <c r="AI40" s="1"/>
  <c r="P36" i="2"/>
  <c r="M26"/>
  <c r="M36" s="1"/>
  <c r="I35" i="4" l="1"/>
  <c r="AB49" i="3"/>
  <c r="AI49"/>
  <c r="P35" i="4"/>
  <c r="R35"/>
  <c r="AK49" i="3"/>
  <c r="I26" s="1"/>
  <c r="I29" s="1"/>
  <c r="AU36" s="1"/>
  <c r="AT36" s="1"/>
  <c r="M28" s="1"/>
  <c r="K35" i="4"/>
  <c r="AD49" i="3"/>
  <c r="D91" i="2"/>
  <c r="M87"/>
  <c r="N87" s="1"/>
  <c r="D87" s="1"/>
  <c r="AF39" i="3"/>
  <c r="AF40" s="1"/>
  <c r="M25" i="4"/>
  <c r="I32" i="3" l="1"/>
  <c r="I40" s="1"/>
  <c r="AU35" s="1"/>
  <c r="AT35" s="1"/>
  <c r="M40" s="1"/>
  <c r="AF49"/>
  <c r="Q7" s="1"/>
  <c r="Q8" s="1"/>
  <c r="Q15" s="1"/>
  <c r="Q18" s="1"/>
  <c r="Q21" s="1"/>
  <c r="Q28" s="1"/>
  <c r="M35" i="4"/>
  <c r="D78" i="2"/>
  <c r="D80" s="1"/>
  <c r="D83" s="1"/>
  <c r="D85" s="1"/>
  <c r="D88" s="1"/>
  <c r="D90" s="1"/>
  <c r="D92" s="1"/>
  <c r="D93" s="1"/>
  <c r="M92" s="1"/>
  <c r="M93" s="1"/>
  <c r="H78"/>
  <c r="H80" l="1"/>
  <c r="O77" s="1"/>
  <c r="S48" i="4"/>
  <c r="O82" i="2"/>
  <c r="P82" s="1"/>
  <c r="O83" s="1"/>
  <c r="H85" s="1"/>
  <c r="S55" i="4" s="1"/>
  <c r="Q41" i="3"/>
  <c r="Q42" s="1"/>
  <c r="G43" s="1"/>
  <c r="D100" i="2"/>
  <c r="M97"/>
  <c r="N97" s="1"/>
  <c r="M98" s="1"/>
  <c r="D97" s="1"/>
  <c r="M94"/>
  <c r="M95" s="1"/>
  <c r="D96" s="1"/>
  <c r="M99"/>
  <c r="M100" s="1"/>
  <c r="D98" s="1"/>
  <c r="H91" l="1"/>
  <c r="S60" i="4" s="1"/>
  <c r="P77" i="2"/>
  <c r="O78" s="1"/>
  <c r="H83" s="1"/>
  <c r="S53" i="4" s="1"/>
  <c r="O80" i="2"/>
  <c r="P80" s="1"/>
  <c r="O81" s="1"/>
  <c r="H84" s="1"/>
  <c r="S54" i="4" s="1"/>
  <c r="O75" i="2"/>
  <c r="H82" s="1"/>
  <c r="S52" i="4" s="1"/>
  <c r="O84" i="2"/>
  <c r="P84" s="1"/>
  <c r="O85" s="1"/>
  <c r="H86" s="1"/>
  <c r="S56" i="4" s="1"/>
  <c r="O86" i="2"/>
  <c r="P86" s="1"/>
  <c r="O87" s="1"/>
  <c r="H87" s="1"/>
  <c r="S57" i="4" s="1"/>
  <c r="S50"/>
  <c r="AU42" i="3"/>
  <c r="AT44" s="1"/>
  <c r="G45" s="1"/>
  <c r="Q49"/>
  <c r="D99" i="2"/>
  <c r="D101" s="1"/>
  <c r="D102" s="1"/>
  <c r="D103" s="1"/>
  <c r="D107" s="1"/>
  <c r="D95"/>
  <c r="AU44" i="3" l="1"/>
  <c r="M45" s="1"/>
  <c r="AT46"/>
  <c r="G47" s="1"/>
  <c r="AT43"/>
  <c r="G44" s="1"/>
  <c r="AT45"/>
  <c r="AU45" s="1"/>
  <c r="M46" s="1"/>
  <c r="AV47"/>
  <c r="AU51" s="1"/>
  <c r="AV51" s="1"/>
  <c r="H90" i="2"/>
  <c r="S59" i="4" s="1"/>
  <c r="S61" s="1"/>
  <c r="AV48" i="3" l="1"/>
  <c r="AU46"/>
  <c r="M47" s="1"/>
  <c r="Q47" s="1"/>
  <c r="Q48" s="1"/>
  <c r="Q50" s="1"/>
  <c r="Q51" s="1"/>
  <c r="Q53" s="1"/>
  <c r="Q57" s="1"/>
  <c r="G46"/>
  <c r="H92" i="2"/>
  <c r="H93" s="1"/>
  <c r="S62" i="4" s="1"/>
  <c r="AV54" i="3"/>
  <c r="H94" i="2" l="1"/>
  <c r="M53" i="3"/>
  <c r="M57" s="1"/>
  <c r="Q58" s="1"/>
  <c r="R62"/>
  <c r="H98" i="2" l="1"/>
  <c r="S67" i="4" s="1"/>
  <c r="S63"/>
</calcChain>
</file>

<file path=xl/sharedStrings.xml><?xml version="1.0" encoding="utf-8"?>
<sst xmlns="http://schemas.openxmlformats.org/spreadsheetml/2006/main" count="540" uniqueCount="231">
  <si>
    <t>Month</t>
  </si>
  <si>
    <t>DUES</t>
  </si>
  <si>
    <t>DEDUCTIONS</t>
  </si>
  <si>
    <t xml:space="preserve">Pay  </t>
  </si>
  <si>
    <t>DA</t>
  </si>
  <si>
    <t>CCA</t>
  </si>
  <si>
    <t>HRA</t>
  </si>
  <si>
    <t>SA   
I</t>
  </si>
  <si>
    <t>SA 
II</t>
  </si>
  <si>
    <t>PP</t>
  </si>
  <si>
    <t>MA</t>
  </si>
  <si>
    <t>Total</t>
  </si>
  <si>
    <t>PF/ 
CPS</t>
  </si>
  <si>
    <t>CPS
 ARR</t>
  </si>
  <si>
    <t>SPF</t>
  </si>
  <si>
    <t>FBF</t>
  </si>
  <si>
    <t>NHIS</t>
  </si>
  <si>
    <t>PLI</t>
  </si>
  <si>
    <t>PRO
TAX</t>
  </si>
  <si>
    <t>IT  Paid</t>
  </si>
  <si>
    <t>IT Cess Paid</t>
  </si>
  <si>
    <t>DA Arr</t>
  </si>
  <si>
    <t>Surren</t>
  </si>
  <si>
    <t>PC Arrear</t>
  </si>
  <si>
    <t>Arrear</t>
  </si>
  <si>
    <t>Bonus</t>
  </si>
  <si>
    <t>Enter your Particulars of LIC Premium/ Mutual fund/ ICICI/ IDBI/ ULIP</t>
  </si>
  <si>
    <t>Policy No.</t>
  </si>
  <si>
    <t>Amount insured</t>
  </si>
  <si>
    <t>Premium  amount</t>
  </si>
  <si>
    <t>Installment</t>
  </si>
  <si>
    <t>Amount of premum per PA</t>
  </si>
  <si>
    <t>x</t>
  </si>
  <si>
    <t>X</t>
  </si>
  <si>
    <t>Enter your Details of NSC, UTI Interest accured on N.S.C.</t>
  </si>
  <si>
    <t>NSC No. &amp; Name of the Post Office</t>
  </si>
  <si>
    <t xml:space="preserve">Date of Issue Numberof the NSC </t>
  </si>
  <si>
    <t>Rate of Interest %</t>
  </si>
  <si>
    <t>Amount Rs.</t>
  </si>
  <si>
    <t>Rs.</t>
  </si>
  <si>
    <t xml:space="preserve"> Enter your Intrest   on Housing Loan (Max. 2,00,000)</t>
  </si>
  <si>
    <t>. Deductions under chapter VI A:</t>
  </si>
  <si>
    <t>Enter your  Higher Education. Loan U/s. 80E</t>
  </si>
  <si>
    <t>Enter your 80EE Home Loan Interste more then 1 laks those get loan the year of 2013 - 2014</t>
  </si>
  <si>
    <t>Enter your  Mediclaim insurance U/s/ 80D (Upto 15000)</t>
  </si>
  <si>
    <t>Enter your  Donations U/s. 80 G</t>
  </si>
  <si>
    <t>(CM Public relief fund)</t>
  </si>
  <si>
    <t>Enter your Medical Treatment U/s 80DD (attach M.B. Cert)</t>
  </si>
  <si>
    <t>Enter your Housing Loan Principal</t>
  </si>
  <si>
    <t>Enter your Mutual Fund/ Life insurance (all private)</t>
  </si>
  <si>
    <t>Enter your Bank Fixed deposit (5yrs. Lock in period)</t>
  </si>
  <si>
    <t>Enter your Infrastructure Bonds (all private)</t>
  </si>
  <si>
    <t>Enter your  IFHRM ID                                   :</t>
  </si>
  <si>
    <t>Enter your PAN NO                                     :</t>
  </si>
  <si>
    <t>Enter your Designation                              :</t>
  </si>
  <si>
    <t>Enter your School / office Address           :</t>
  </si>
  <si>
    <t>Enter your School / office Name             :</t>
  </si>
  <si>
    <t>Enter your  Date of Birth                          :</t>
  </si>
  <si>
    <t>Enter your Father 's  Name                     :</t>
  </si>
  <si>
    <t>Enter your Name                                     :</t>
  </si>
  <si>
    <t>TOTAL</t>
  </si>
  <si>
    <t>TAX CALCULATION OLD METHOD</t>
  </si>
  <si>
    <t>TOTAL GROSS SALARY</t>
  </si>
  <si>
    <t>RS.</t>
  </si>
  <si>
    <t>TAX CALCULATION NEW METHOD</t>
  </si>
  <si>
    <t>STANDARD DEDUCTION</t>
  </si>
  <si>
    <t>HOUSING LOAN INTEREST</t>
  </si>
  <si>
    <t>PROFFESSIONAL TAX</t>
  </si>
  <si>
    <t xml:space="preserve">  Investments : U/s. 80 C</t>
  </si>
  <si>
    <t>section 80CCD(1B) CPS DEDUCTION MORE THAN 80C REDUCE THE EXCESS AMOUNT (MAX RS.50,000)</t>
  </si>
  <si>
    <t>CPS/TPF, INSURANCE,    HOME LOAN PRINCIPLE, NSC ETC.</t>
  </si>
  <si>
    <t>NHIS &amp; Mediclaim insurance U/s/ 80D (Upto 15000)</t>
  </si>
  <si>
    <t xml:space="preserve">TAX CALCULATION </t>
  </si>
  <si>
    <t>i) On the First Rs. 2,50,000                  :</t>
  </si>
  <si>
    <t>ii) Rs.2,50,001 - 5,00,000  @ 5%     :</t>
  </si>
  <si>
    <t>iii)Rs. 5,00,001 - 10,00,000 @ 20%      :</t>
  </si>
  <si>
    <t>iv) above 10,00,001 @ 30%                :</t>
  </si>
  <si>
    <t xml:space="preserve">TOTAL TAX </t>
  </si>
  <si>
    <t>Taxable income below Rs.5,00,000 U/s 87A</t>
  </si>
  <si>
    <t>NET TOTAL TAX</t>
  </si>
  <si>
    <t>Education Cess at 4% of income tax</t>
  </si>
  <si>
    <t>TOTAL PAYABLE TAX</t>
  </si>
  <si>
    <t>TAX ALREADY PAID</t>
  </si>
  <si>
    <t xml:space="preserve"> Less: Relief U/s 89(i)</t>
  </si>
  <si>
    <t xml:space="preserve"> Less: Tax Paid by Challan</t>
  </si>
  <si>
    <t>Balance Tax to be recovered</t>
  </si>
  <si>
    <t>TOTAL TAX</t>
  </si>
  <si>
    <t>Particulars of LIC Premium/ Mutual fund/ ICICI/ IDBI/ ULIP</t>
  </si>
  <si>
    <t xml:space="preserve">Name  : </t>
  </si>
  <si>
    <t xml:space="preserve">Designation : </t>
  </si>
  <si>
    <t>Father's Name :</t>
  </si>
  <si>
    <t>PAN               :</t>
  </si>
  <si>
    <t xml:space="preserve">Date Of Birth : </t>
  </si>
  <si>
    <t>School:</t>
  </si>
  <si>
    <t xml:space="preserve">1.. Total salary </t>
  </si>
  <si>
    <t>STANDTED DEDUCTION U/S 16 RS 50000</t>
  </si>
  <si>
    <t>RS</t>
  </si>
  <si>
    <t>2.. LESS HRA EXEMPTED U/S-10 (13A)</t>
  </si>
  <si>
    <t>LESS: HRA Exempted IT rules sec 10(13A)</t>
  </si>
  <si>
    <t xml:space="preserve">     a)  Actual rent paid</t>
  </si>
  <si>
    <t>12 x</t>
  </si>
  <si>
    <t>a)Actual rent paid                 12 x</t>
  </si>
  <si>
    <t xml:space="preserve">     b)  10% of basic pay + DA</t>
  </si>
  <si>
    <t>b)10% of( pay+Dp+ Da)</t>
  </si>
  <si>
    <t xml:space="preserve">     c)  Difference (a-b)</t>
  </si>
  <si>
    <t>Details of NSC, UTI Interest accured on N.S.C.</t>
  </si>
  <si>
    <t>c)Diff (a-b)</t>
  </si>
  <si>
    <t xml:space="preserve">     d)  HRA received</t>
  </si>
  <si>
    <t>d)HRA Received</t>
  </si>
  <si>
    <t xml:space="preserve">             Least of "c" or "d" exempted</t>
  </si>
  <si>
    <t>e)40% of (pay+Da)</t>
  </si>
  <si>
    <t>3.     Salary after giving relief under the head "HRA" (1-2)</t>
  </si>
  <si>
    <t>Certificate:</t>
  </si>
  <si>
    <r>
      <t>HRA Exempted whichever is less(</t>
    </r>
    <r>
      <rPr>
        <b/>
        <sz val="8"/>
        <color rgb="FFFFFFFF"/>
        <rFont val="Cambria"/>
      </rPr>
      <t>c</t>
    </r>
    <r>
      <rPr>
        <sz val="8"/>
        <color rgb="FFFFFFFF"/>
        <rFont val="Cambria"/>
      </rPr>
      <t>)or (</t>
    </r>
    <r>
      <rPr>
        <b/>
        <sz val="8"/>
        <color rgb="FFFFFFFF"/>
        <rFont val="Cambria"/>
      </rPr>
      <t>d</t>
    </r>
    <r>
      <rPr>
        <sz val="8"/>
        <color rgb="FFFFFFFF"/>
        <rFont val="Cambria"/>
      </rPr>
      <t>) or (</t>
    </r>
    <r>
      <rPr>
        <b/>
        <sz val="8"/>
        <color rgb="FFFFFFFF"/>
        <rFont val="Cambria"/>
      </rPr>
      <t>e</t>
    </r>
    <r>
      <rPr>
        <sz val="8"/>
        <color rgb="FFFFFFFF"/>
        <rFont val="Cambria"/>
      </rPr>
      <t>)</t>
    </r>
  </si>
  <si>
    <t>4.   Less : Professional Tax</t>
  </si>
  <si>
    <t>1. Certified that I am occupying a rental house paying monthly rent of Rs.</t>
  </si>
  <si>
    <t>5.   Less : Int. on Housing Loan (Max. 2,00,000)</t>
  </si>
  <si>
    <t>2. Certified that I am paying a sum of Rs</t>
  </si>
  <si>
    <t>towards Life Insurance Premium and the Policies are kept alive.</t>
  </si>
  <si>
    <t xml:space="preserve"> Gross Total Income</t>
  </si>
  <si>
    <t>Rs</t>
  </si>
  <si>
    <t>3. Certified that I am paying a sum of   Rs</t>
  </si>
  <si>
    <t xml:space="preserve">/-towards Tuition fees for my son  &amp; / daughter  </t>
  </si>
  <si>
    <t xml:space="preserve">6.   Add : a) Interest on NSC </t>
  </si>
  <si>
    <t>b)  income from other source</t>
  </si>
  <si>
    <t>Signature of the employee</t>
  </si>
  <si>
    <t xml:space="preserve">  Total Income</t>
  </si>
  <si>
    <t>7. Deductions under chapter VI A:</t>
  </si>
  <si>
    <t xml:space="preserve"> a) Higher Education. Loan U/s. 80E</t>
  </si>
  <si>
    <t>80EE Home Loan Interste more then 1 laks those get loan the year of 2013 - 2014</t>
  </si>
  <si>
    <t xml:space="preserve"> b) Mediclaim insurance U/s/ 80D (Upto 15000)</t>
  </si>
  <si>
    <t>Mediclaim insurance through NHIS</t>
  </si>
  <si>
    <t>IT Paid</t>
  </si>
  <si>
    <t>IT cess Paid</t>
  </si>
  <si>
    <t xml:space="preserve"> c) Donations U/s. 80 G</t>
  </si>
  <si>
    <t>d) Medical Treatment U/s 80DD</t>
  </si>
  <si>
    <t>(attach M.B. Cert)</t>
  </si>
  <si>
    <t xml:space="preserve">     Total Eligible savings for deduction is restricted to Rs. 1,00,000.</t>
  </si>
  <si>
    <t xml:space="preserve"> e) Investments : U/s. 80 C</t>
  </si>
  <si>
    <t>TPF / CPS</t>
  </si>
  <si>
    <t>SPF, FBF, HF, GI</t>
  </si>
  <si>
    <t>Life insurance Premium</t>
  </si>
  <si>
    <t>Housing Loan Principal</t>
  </si>
  <si>
    <t>Mutual Fund/ Life insurance (all private)</t>
  </si>
  <si>
    <t xml:space="preserve"> PLI</t>
  </si>
  <si>
    <t>Tuition Fees Paid for 2 Children of an individual</t>
  </si>
  <si>
    <t>Bank Fixed deposit (5yrs. Lock in period)</t>
  </si>
  <si>
    <t>Total (Maxi. Rs. 1,50,000)</t>
  </si>
  <si>
    <t>8.  Total Taxable income rounded off to nearest ten</t>
  </si>
  <si>
    <t>Tax on Taxable income</t>
  </si>
  <si>
    <t>9.  Tax on Total Taxable income</t>
  </si>
  <si>
    <t>on the first Rs.200000   - Tax Nil</t>
  </si>
  <si>
    <t>PCA Arr</t>
  </si>
  <si>
    <t>income exceeds Rs200001 to 500000 @10%</t>
  </si>
  <si>
    <t>on the next Rs.500001 - 1000000 @20%</t>
  </si>
  <si>
    <t>on the next Rs. 1000001and above - @30%</t>
  </si>
  <si>
    <t>Total Tax  on Taxable Income</t>
  </si>
  <si>
    <t xml:space="preserve">10.  Total Tax Payable </t>
  </si>
  <si>
    <t xml:space="preserve">NET TAX   PAYABLE    </t>
  </si>
  <si>
    <t xml:space="preserve"> </t>
  </si>
  <si>
    <t>Net Total Tax</t>
  </si>
  <si>
    <t>11.  Education Cess at 4% of income tax</t>
  </si>
  <si>
    <t>Add : Education cess @ 3% of the Tax payable</t>
  </si>
  <si>
    <t>Tax</t>
  </si>
  <si>
    <t>Cess</t>
  </si>
  <si>
    <t>12. Net Tax Payable</t>
  </si>
  <si>
    <t>SURCHARGE ( Taxable income exceed 10 lakh @2 %)</t>
  </si>
  <si>
    <t>NIL</t>
  </si>
  <si>
    <t>13. Less: Relief U/s 89(i)</t>
  </si>
  <si>
    <t>Prepared By S M THOMAS ANTONY</t>
  </si>
  <si>
    <t>TOTAL TAX TO BE RECOVERED</t>
  </si>
  <si>
    <t>14. Less: Tax already recovered</t>
  </si>
  <si>
    <t>ST.BRITTO HR SEC SCHOOL</t>
  </si>
  <si>
    <t xml:space="preserve">TAX ALREADY  RECOVERED </t>
  </si>
  <si>
    <t>-</t>
  </si>
  <si>
    <t>15. Less: Tax Paid by Challan</t>
  </si>
  <si>
    <t>MADURAI</t>
  </si>
  <si>
    <t>16.  Balance Tax to be recovered</t>
  </si>
  <si>
    <t>Contact 9942421195</t>
  </si>
  <si>
    <t>IFHRM ID        :</t>
  </si>
  <si>
    <t>CPS ARREAR</t>
  </si>
  <si>
    <t xml:space="preserve">Enter PLI </t>
  </si>
  <si>
    <t>Enter Tuition Fees Paid for 2 Children of an individual</t>
  </si>
  <si>
    <t xml:space="preserve">Enter section 80CCD(1B) CPS DEDUCTION MORE THAN 80C REDUCE THE EXCESS AMOUNT (MAX RS.50,000) </t>
  </si>
  <si>
    <t>TOTAL TAXABLE INCOME nearest ten</t>
  </si>
  <si>
    <t>Enter your Relief U/s 89(i)</t>
  </si>
  <si>
    <t>Enter your Tax Paid by Challan</t>
  </si>
  <si>
    <t>FOR CONTACT : MR.S M THOMAS ANTONY BT ASST</t>
  </si>
  <si>
    <t>MADURAI - 16</t>
  </si>
  <si>
    <t>NSC</t>
  </si>
  <si>
    <t>HRA EXCEMPTION</t>
  </si>
  <si>
    <t>toal tax</t>
  </si>
  <si>
    <t>17.  Total Tax to be recovered in Feb 2023</t>
  </si>
  <si>
    <t xml:space="preserve"> Enter your Income from other sources</t>
  </si>
  <si>
    <t>JOSEPH RAJ</t>
  </si>
  <si>
    <t>i) On the First Rs. 3,00,000                  :</t>
  </si>
  <si>
    <t>ii) Rs.3,00,001 - 6,00,000  @ 5%     :</t>
  </si>
  <si>
    <t>iii)Rs.6,00,001 -9,00,000 @ 10%   :</t>
  </si>
  <si>
    <t>iv)Rs.9,00,001 - 12,00,000 @ 15%  :</t>
  </si>
  <si>
    <t>v)Rs.12,00,001- 15,00,000 @20% :</t>
  </si>
  <si>
    <t>vi)Above 15,00,000@ 30%  :</t>
  </si>
  <si>
    <t>STANARD DEDUCTION RS.50,000</t>
  </si>
  <si>
    <t xml:space="preserve">TOTAL TAXABLE INCOME </t>
  </si>
  <si>
    <t>Taxable income</t>
  </si>
  <si>
    <t>vi)Rs.15,00,001 and above @ 30%  :</t>
  </si>
  <si>
    <t>Taxable income below Rs.7,00,000 U/s 87A Section 115BAC(1A)</t>
  </si>
  <si>
    <t>ii) Rs.3,00,001 - 7,00,000  @ 5%     :</t>
  </si>
  <si>
    <t>STANARD DEDUCTION RS.75,000</t>
  </si>
  <si>
    <t>iii)Rs.7,00,001 -10,00,000 @ 10%   :</t>
  </si>
  <si>
    <t>iv)Rs.10,00,001 - 12,00,000 @ 15%  :</t>
  </si>
  <si>
    <t>INCOME - TAX CALCULATION STATEMENT FOR THE YEAR 2024 - 2025</t>
  </si>
  <si>
    <t>Enter your  INCOME PARTICULARS FOR THE YEAR 2024 - 2025</t>
  </si>
  <si>
    <t>INCOME PARTICULARS FOR THE YEAR 2024 - 2025</t>
  </si>
  <si>
    <t>LOURDU JASMINE METILDA J</t>
  </si>
  <si>
    <t>GOVT HR SEC SCHOOL</t>
  </si>
  <si>
    <t>T.MEDUPATTI, MADURAI</t>
  </si>
  <si>
    <t>P.G.ASST.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</si>
  <si>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</si>
  <si>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</si>
  <si>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</si>
  <si>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</si>
  <si>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</si>
  <si>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</si>
  <si>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</si>
  <si>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</si>
  <si>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</si>
  <si>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</si>
  <si>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Jan-25</t>
  </si>
  <si>
    <t>Feb-25</t>
  </si>
  <si>
    <t>XXXXXXXXX</t>
  </si>
  <si>
    <t>460XXXXXX2345</t>
  </si>
</sst>
</file>

<file path=xl/styles.xml><?xml version="1.0" encoding="utf-8"?>
<styleSheet xmlns="http://schemas.openxmlformats.org/spreadsheetml/2006/main">
  <numFmts count="4">
    <numFmt numFmtId="164" formatCode="m/d/yyyy"/>
    <numFmt numFmtId="165" formatCode="mmm\-yy"/>
    <numFmt numFmtId="166" formatCode="d\-mmm"/>
    <numFmt numFmtId="167" formatCode="[$-14009]dd/mm/yyyy;@"/>
  </numFmts>
  <fonts count="66">
    <font>
      <sz val="11"/>
      <name val="Calibri"/>
    </font>
    <font>
      <sz val="11"/>
      <color rgb="FF000000"/>
      <name val="Calibri"/>
    </font>
    <font>
      <sz val="26"/>
      <color rgb="FF0070C0"/>
      <name val="Calibri"/>
    </font>
    <font>
      <sz val="11"/>
      <color rgb="FF000000"/>
      <name val="Calibri"/>
    </font>
    <font>
      <b/>
      <sz val="16"/>
      <name val="Arial"/>
    </font>
    <font>
      <b/>
      <sz val="12"/>
      <color rgb="FF000000"/>
      <name val="Calibri"/>
    </font>
    <font>
      <b/>
      <sz val="14"/>
      <color rgb="FF000000"/>
      <name val="Calibri"/>
    </font>
    <font>
      <sz val="14"/>
      <name val="Arial Black"/>
    </font>
    <font>
      <sz val="11"/>
      <name val="Arial Black"/>
    </font>
    <font>
      <sz val="10"/>
      <name val="Arial Black"/>
    </font>
    <font>
      <b/>
      <sz val="12"/>
      <name val="Arial"/>
    </font>
    <font>
      <sz val="11"/>
      <name val="Arial"/>
    </font>
    <font>
      <sz val="11"/>
      <name val="Tahoma"/>
    </font>
    <font>
      <sz val="11"/>
      <name val="Tw Cen MT"/>
    </font>
    <font>
      <b/>
      <u/>
      <sz val="14"/>
      <name val="Arial"/>
    </font>
    <font>
      <sz val="12"/>
      <name val="Arial"/>
    </font>
    <font>
      <sz val="12"/>
      <color rgb="FF000000"/>
      <name val="Calibri"/>
    </font>
    <font>
      <sz val="8"/>
      <name val="Arial"/>
    </font>
    <font>
      <sz val="16"/>
      <name val="Arial"/>
    </font>
    <font>
      <b/>
      <sz val="11"/>
      <name val="Arial"/>
    </font>
    <font>
      <b/>
      <sz val="12"/>
      <name val="Tahoma"/>
    </font>
    <font>
      <b/>
      <sz val="8"/>
      <name val="Arial"/>
    </font>
    <font>
      <b/>
      <sz val="16"/>
      <color rgb="FF000000"/>
      <name val="Calibri"/>
    </font>
    <font>
      <b/>
      <sz val="16"/>
      <name val="Tahoma"/>
    </font>
    <font>
      <sz val="11"/>
      <color rgb="FFFFFFFF"/>
      <name val="Calibri"/>
    </font>
    <font>
      <b/>
      <sz val="11"/>
      <color rgb="FF000000"/>
      <name val="Calibri"/>
    </font>
    <font>
      <u/>
      <sz val="10"/>
      <name val="Arial"/>
    </font>
    <font>
      <sz val="8"/>
      <color rgb="FFFFFFFF"/>
      <name val="Cambria"/>
    </font>
    <font>
      <sz val="8"/>
      <name val="Cambria"/>
    </font>
    <font>
      <sz val="10"/>
      <name val="Arial"/>
    </font>
    <font>
      <b/>
      <sz val="14"/>
      <name val="Tw Cen MT"/>
    </font>
    <font>
      <sz val="11"/>
      <color indexed="9"/>
      <name val="Tahoma"/>
    </font>
    <font>
      <b/>
      <sz val="11"/>
      <name val="Tahoma"/>
    </font>
    <font>
      <sz val="11"/>
      <color rgb="FFFFFFFF"/>
      <name val="Arial"/>
    </font>
    <font>
      <sz val="10"/>
      <name val="Tahoma"/>
    </font>
    <font>
      <b/>
      <sz val="10"/>
      <name val="Arial"/>
    </font>
    <font>
      <u/>
      <sz val="8"/>
      <color rgb="FFFFFFFF"/>
      <name val="Cambria"/>
    </font>
    <font>
      <sz val="11"/>
      <color rgb="FFFFFFFF"/>
      <name val="Cambria"/>
    </font>
    <font>
      <sz val="10"/>
      <color rgb="FFFFFFFF"/>
      <name val="Cambria"/>
    </font>
    <font>
      <sz val="8"/>
      <color rgb="FFFFFFFF"/>
      <name val="Arial"/>
    </font>
    <font>
      <sz val="14"/>
      <name val="Arial"/>
    </font>
    <font>
      <sz val="14"/>
      <color indexed="9"/>
      <name val="Tahoma"/>
    </font>
    <font>
      <b/>
      <sz val="14"/>
      <name val="Tahoma"/>
    </font>
    <font>
      <b/>
      <sz val="14"/>
      <name val="Cambria"/>
    </font>
    <font>
      <sz val="14"/>
      <color rgb="FF000000"/>
      <name val="Calibri"/>
    </font>
    <font>
      <b/>
      <sz val="14"/>
      <name val="Arial"/>
    </font>
    <font>
      <sz val="11"/>
      <color rgb="FF000000"/>
      <name val="Calibri"/>
    </font>
    <font>
      <b/>
      <sz val="8"/>
      <color rgb="FFFFFFFF"/>
      <name val="Cambria"/>
    </font>
    <font>
      <sz val="11"/>
      <name val="Arial"/>
      <family val="2"/>
    </font>
    <font>
      <b/>
      <sz val="14"/>
      <color rgb="FF000000"/>
      <name val="Calibri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Tahoma"/>
      <family val="2"/>
    </font>
    <font>
      <sz val="11"/>
      <color theme="0"/>
      <name val="Arial"/>
      <family val="2"/>
    </font>
    <font>
      <sz val="14"/>
      <color rgb="FF000000"/>
      <name val="Calibri"/>
      <family val="2"/>
    </font>
    <font>
      <u/>
      <sz val="10"/>
      <name val="Arial"/>
      <family val="2"/>
    </font>
    <font>
      <b/>
      <sz val="10.5"/>
      <name val="Tahoma"/>
      <family val="2"/>
    </font>
    <font>
      <b/>
      <sz val="10.5"/>
      <name val="Arial"/>
      <family val="2"/>
    </font>
    <font>
      <b/>
      <sz val="10.5"/>
      <name val="Cambria"/>
      <family val="1"/>
    </font>
    <font>
      <b/>
      <u/>
      <sz val="10.5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8EB4E2"/>
        <bgColor indexed="64"/>
      </patternFill>
    </fill>
    <fill>
      <patternFill patternType="solid">
        <fgColor rgb="FFEEECE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6" fillId="0" borderId="0">
      <alignment vertical="top"/>
      <protection locked="0"/>
    </xf>
  </cellStyleXfs>
  <cellXfs count="5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 applyProtection="1"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6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165" fontId="11" fillId="0" borderId="24" xfId="0" quotePrefix="1" applyNumberFormat="1" applyFont="1" applyFill="1" applyBorder="1" applyAlignment="1" applyProtection="1">
      <alignment horizontal="left" wrapText="1"/>
      <protection locked="0"/>
    </xf>
    <xf numFmtId="0" fontId="11" fillId="0" borderId="4" xfId="0" applyFont="1" applyFill="1" applyBorder="1" applyAlignment="1" applyProtection="1">
      <protection locked="0"/>
    </xf>
    <xf numFmtId="0" fontId="12" fillId="5" borderId="4" xfId="0" applyFont="1" applyFill="1" applyBorder="1" applyAlignment="1" applyProtection="1">
      <protection locked="0"/>
    </xf>
    <xf numFmtId="0" fontId="12" fillId="0" borderId="25" xfId="0" applyFont="1" applyFill="1" applyBorder="1" applyAlignment="1">
      <alignment horizontal="center"/>
    </xf>
    <xf numFmtId="0" fontId="11" fillId="0" borderId="4" xfId="0" applyFont="1" applyFill="1" applyBorder="1" applyAlignment="1"/>
    <xf numFmtId="0" fontId="11" fillId="5" borderId="5" xfId="0" applyFont="1" applyFill="1" applyBorder="1" applyAlignment="1" applyProtection="1">
      <protection locked="0"/>
    </xf>
    <xf numFmtId="166" fontId="11" fillId="0" borderId="24" xfId="0" quotePrefix="1" applyNumberFormat="1" applyFont="1" applyFill="1" applyBorder="1" applyAlignment="1" applyProtection="1">
      <alignment horizontal="left" wrapText="1"/>
      <protection locked="0"/>
    </xf>
    <xf numFmtId="0" fontId="11" fillId="0" borderId="24" xfId="0" quotePrefix="1" applyFont="1" applyFill="1" applyBorder="1" applyAlignment="1" applyProtection="1">
      <alignment horizontal="left" wrapText="1"/>
      <protection locked="0"/>
    </xf>
    <xf numFmtId="0" fontId="13" fillId="5" borderId="4" xfId="0" applyFont="1" applyFill="1" applyBorder="1" applyAlignment="1" applyProtection="1">
      <protection locked="0"/>
    </xf>
    <xf numFmtId="0" fontId="11" fillId="3" borderId="24" xfId="0" applyFont="1" applyFill="1" applyBorder="1" applyAlignment="1" applyProtection="1">
      <alignment horizontal="left"/>
      <protection locked="0"/>
    </xf>
    <xf numFmtId="0" fontId="11" fillId="5" borderId="4" xfId="0" applyFont="1" applyFill="1" applyBorder="1" applyAlignment="1" applyProtection="1">
      <protection locked="0"/>
    </xf>
    <xf numFmtId="0" fontId="12" fillId="0" borderId="4" xfId="0" applyFont="1" applyFill="1" applyBorder="1" applyAlignment="1"/>
    <xf numFmtId="1" fontId="11" fillId="5" borderId="4" xfId="0" applyNumberFormat="1" applyFont="1" applyFill="1" applyBorder="1" applyAlignment="1" applyProtection="1">
      <protection locked="0"/>
    </xf>
    <xf numFmtId="0" fontId="15" fillId="3" borderId="4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7" fillId="3" borderId="26" xfId="0" applyFont="1" applyFill="1" applyBorder="1" applyAlignment="1">
      <alignment horizontal="center"/>
    </xf>
    <xf numFmtId="0" fontId="18" fillId="5" borderId="4" xfId="0" applyFont="1" applyFill="1" applyBorder="1" applyAlignment="1" applyProtection="1">
      <alignment horizontal="center"/>
      <protection locked="0"/>
    </xf>
    <xf numFmtId="0" fontId="18" fillId="5" borderId="5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0" fontId="17" fillId="0" borderId="26" xfId="0" applyFont="1" applyFill="1" applyBorder="1" applyAlignment="1">
      <alignment horizontal="center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right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19" fillId="3" borderId="1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19" fillId="3" borderId="5" xfId="0" applyFont="1" applyFill="1" applyBorder="1">
      <alignment vertical="center"/>
    </xf>
    <xf numFmtId="0" fontId="21" fillId="0" borderId="0" xfId="0" applyFont="1" applyBorder="1" applyAlignment="1" applyProtection="1">
      <protection locked="0"/>
    </xf>
    <xf numFmtId="0" fontId="19" fillId="0" borderId="4" xfId="0" applyFont="1" applyBorder="1" applyAlignment="1">
      <alignment horizontal="right"/>
    </xf>
    <xf numFmtId="0" fontId="19" fillId="3" borderId="4" xfId="0" applyFont="1" applyFill="1" applyBorder="1">
      <alignment vertical="center"/>
    </xf>
    <xf numFmtId="0" fontId="21" fillId="3" borderId="4" xfId="0" applyFont="1" applyFill="1" applyBorder="1" applyProtection="1">
      <alignment vertical="center"/>
      <protection locked="0"/>
    </xf>
    <xf numFmtId="0" fontId="19" fillId="3" borderId="20" xfId="0" applyFont="1" applyFill="1" applyBorder="1">
      <alignment vertical="center"/>
    </xf>
    <xf numFmtId="0" fontId="19" fillId="0" borderId="0" xfId="0" applyFont="1" applyBorder="1" applyAlignment="1">
      <alignment horizontal="right"/>
    </xf>
    <xf numFmtId="0" fontId="3" fillId="0" borderId="20" xfId="0" applyFont="1" applyFill="1" applyBorder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right" vertical="center"/>
    </xf>
    <xf numFmtId="0" fontId="24" fillId="0" borderId="0" xfId="0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11" fillId="0" borderId="27" xfId="0" applyFont="1" applyBorder="1" applyAlignment="1">
      <alignment horizontal="left" indent="1"/>
    </xf>
    <xf numFmtId="0" fontId="3" fillId="0" borderId="0" xfId="0" applyFont="1" applyAlignment="1" applyProtection="1">
      <alignment wrapText="1"/>
      <protection locked="0"/>
    </xf>
    <xf numFmtId="0" fontId="11" fillId="0" borderId="27" xfId="0" applyFont="1" applyBorder="1" applyAlignment="1">
      <alignment horizontal="left" wrapText="1" indent="1"/>
    </xf>
    <xf numFmtId="3" fontId="24" fillId="0" borderId="0" xfId="0" applyNumberFormat="1" applyFont="1" applyAlignment="1" applyProtection="1">
      <protection locked="0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28" xfId="0" applyFont="1" applyBorder="1" applyAlignment="1"/>
    <xf numFmtId="0" fontId="17" fillId="0" borderId="0" xfId="0" applyFont="1" applyBorder="1" applyAlignment="1">
      <alignment horizontal="center"/>
    </xf>
    <xf numFmtId="0" fontId="27" fillId="0" borderId="0" xfId="0" applyFont="1" applyAlignment="1"/>
    <xf numFmtId="0" fontId="27" fillId="0" borderId="0" xfId="0" applyFont="1" applyBorder="1" applyAlignment="1"/>
    <xf numFmtId="0" fontId="28" fillId="0" borderId="0" xfId="0" applyFont="1" applyBorder="1" applyAlignment="1"/>
    <xf numFmtId="0" fontId="17" fillId="0" borderId="0" xfId="0" applyFont="1" applyBorder="1" applyAlignment="1"/>
    <xf numFmtId="0" fontId="17" fillId="0" borderId="12" xfId="0" applyFont="1" applyFill="1" applyBorder="1" applyAlignment="1"/>
    <xf numFmtId="0" fontId="17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/>
    <xf numFmtId="0" fontId="17" fillId="0" borderId="0" xfId="0" applyFont="1" applyFill="1" applyBorder="1" applyAlignment="1"/>
    <xf numFmtId="2" fontId="17" fillId="0" borderId="0" xfId="0" applyNumberFormat="1" applyFont="1" applyFill="1" applyBorder="1" applyAlignment="1"/>
    <xf numFmtId="0" fontId="17" fillId="0" borderId="29" xfId="0" applyFont="1" applyFill="1" applyBorder="1" applyAlignment="1"/>
    <xf numFmtId="0" fontId="11" fillId="0" borderId="0" xfId="0" applyFont="1" applyFill="1" applyBorder="1" applyAlignment="1"/>
    <xf numFmtId="0" fontId="17" fillId="0" borderId="27" xfId="0" applyFont="1" applyFill="1" applyBorder="1" applyAlignment="1"/>
    <xf numFmtId="0" fontId="11" fillId="0" borderId="12" xfId="0" applyFont="1" applyBorder="1" applyAlignment="1"/>
    <xf numFmtId="0" fontId="11" fillId="0" borderId="13" xfId="0" applyFont="1" applyBorder="1" applyAlignment="1"/>
    <xf numFmtId="0" fontId="11" fillId="0" borderId="14" xfId="0" applyFont="1" applyBorder="1" applyAlignment="1"/>
    <xf numFmtId="0" fontId="11" fillId="0" borderId="13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1" fillId="0" borderId="27" xfId="0" applyFont="1" applyBorder="1" applyAlignment="1"/>
    <xf numFmtId="0" fontId="3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29" xfId="0" applyFont="1" applyBorder="1" applyAlignment="1"/>
    <xf numFmtId="0" fontId="33" fillId="0" borderId="0" xfId="0" applyFont="1" applyBorder="1" applyAlignment="1"/>
    <xf numFmtId="0" fontId="19" fillId="0" borderId="0" xfId="0" applyFont="1" applyBorder="1" applyAlignment="1"/>
    <xf numFmtId="1" fontId="27" fillId="0" borderId="0" xfId="0" applyNumberFormat="1" applyFont="1" applyBorder="1" applyAlignment="1"/>
    <xf numFmtId="0" fontId="29" fillId="0" borderId="26" xfId="0" applyFont="1" applyBorder="1" applyAlignment="1"/>
    <xf numFmtId="0" fontId="29" fillId="0" borderId="2" xfId="0" applyFont="1" applyBorder="1" applyAlignment="1"/>
    <xf numFmtId="2" fontId="27" fillId="0" borderId="0" xfId="0" applyNumberFormat="1" applyFont="1" applyBorder="1" applyAlignment="1"/>
    <xf numFmtId="0" fontId="11" fillId="0" borderId="19" xfId="0" applyFont="1" applyBorder="1" applyAlignment="1"/>
    <xf numFmtId="0" fontId="11" fillId="0" borderId="20" xfId="0" applyFont="1" applyBorder="1" applyAlignment="1"/>
    <xf numFmtId="0" fontId="19" fillId="0" borderId="20" xfId="0" applyFont="1" applyBorder="1" applyAlignment="1"/>
    <xf numFmtId="0" fontId="19" fillId="0" borderId="20" xfId="0" applyFont="1" applyBorder="1" applyAlignment="1">
      <alignment horizontal="right"/>
    </xf>
    <xf numFmtId="0" fontId="29" fillId="0" borderId="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29" fillId="6" borderId="0" xfId="0" applyFont="1" applyFill="1" applyBorder="1" applyAlignment="1"/>
    <xf numFmtId="0" fontId="19" fillId="0" borderId="13" xfId="0" applyFont="1" applyBorder="1" applyAlignment="1"/>
    <xf numFmtId="0" fontId="19" fillId="0" borderId="13" xfId="0" applyFont="1" applyBorder="1" applyAlignment="1">
      <alignment horizontal="right"/>
    </xf>
    <xf numFmtId="0" fontId="29" fillId="0" borderId="6" xfId="0" applyFont="1" applyBorder="1" applyAlignment="1"/>
    <xf numFmtId="0" fontId="11" fillId="0" borderId="0" xfId="0" applyFont="1" applyBorder="1" applyAlignment="1">
      <alignment horizontal="left" indent="1"/>
    </xf>
    <xf numFmtId="0" fontId="34" fillId="0" borderId="4" xfId="0" applyFont="1" applyBorder="1" applyAlignment="1"/>
    <xf numFmtId="1" fontId="27" fillId="0" borderId="0" xfId="0" applyNumberFormat="1" applyFont="1" applyBorder="1" applyAlignment="1">
      <alignment horizontal="right"/>
    </xf>
    <xf numFmtId="166" fontId="29" fillId="0" borderId="24" xfId="0" applyNumberFormat="1" applyFont="1" applyBorder="1" applyAlignment="1">
      <alignment horizontal="left"/>
    </xf>
    <xf numFmtId="1" fontId="35" fillId="0" borderId="4" xfId="0" applyNumberFormat="1" applyFont="1" applyBorder="1" applyAlignment="1"/>
    <xf numFmtId="0" fontId="29" fillId="0" borderId="24" xfId="0" applyFont="1" applyBorder="1" applyAlignment="1">
      <alignment horizontal="left"/>
    </xf>
    <xf numFmtId="0" fontId="36" fillId="0" borderId="0" xfId="0" applyFont="1" applyBorder="1" applyAlignment="1"/>
    <xf numFmtId="0" fontId="27" fillId="0" borderId="0" xfId="0" quotePrefix="1" applyFont="1" applyBorder="1" applyAlignment="1"/>
    <xf numFmtId="0" fontId="11" fillId="0" borderId="27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11" fillId="0" borderId="0" xfId="0" quotePrefix="1" applyFont="1" applyBorder="1" applyAlignment="1"/>
    <xf numFmtId="0" fontId="37" fillId="0" borderId="0" xfId="0" applyFont="1" applyBorder="1" applyAlignment="1"/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 indent="1"/>
    </xf>
    <xf numFmtId="1" fontId="17" fillId="0" borderId="0" xfId="0" applyNumberFormat="1" applyFont="1" applyBorder="1" applyAlignment="1">
      <alignment horizontal="right"/>
    </xf>
    <xf numFmtId="0" fontId="35" fillId="0" borderId="0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13" xfId="0" applyFont="1" applyBorder="1" applyAlignment="1"/>
    <xf numFmtId="0" fontId="29" fillId="0" borderId="6" xfId="0" applyFont="1" applyBorder="1" applyAlignment="1">
      <alignment horizontal="center"/>
    </xf>
    <xf numFmtId="0" fontId="27" fillId="0" borderId="0" xfId="0" quotePrefix="1" applyFont="1" applyBorder="1" applyAlignment="1">
      <alignment horizontal="right"/>
    </xf>
    <xf numFmtId="0" fontId="39" fillId="0" borderId="0" xfId="0" applyFont="1" applyBorder="1" applyAlignment="1"/>
    <xf numFmtId="0" fontId="39" fillId="0" borderId="0" xfId="0" applyFont="1" applyBorder="1" applyAlignment="1">
      <alignment horizontal="center"/>
    </xf>
    <xf numFmtId="1" fontId="39" fillId="0" borderId="0" xfId="0" applyNumberFormat="1" applyFont="1" applyBorder="1" applyAlignment="1"/>
    <xf numFmtId="0" fontId="17" fillId="0" borderId="6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35" fillId="0" borderId="4" xfId="0" applyFont="1" applyBorder="1" applyAlignment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/>
    <xf numFmtId="0" fontId="1" fillId="0" borderId="0" xfId="0" applyFont="1" applyBorder="1">
      <alignment vertical="center"/>
    </xf>
    <xf numFmtId="0" fontId="17" fillId="0" borderId="33" xfId="0" applyFont="1" applyFill="1" applyBorder="1" applyAlignment="1"/>
    <xf numFmtId="0" fontId="11" fillId="0" borderId="33" xfId="0" applyFont="1" applyBorder="1" applyAlignment="1"/>
    <xf numFmtId="0" fontId="20" fillId="0" borderId="33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40" fillId="0" borderId="27" xfId="0" applyFont="1" applyBorder="1" applyAlignment="1"/>
    <xf numFmtId="0" fontId="40" fillId="0" borderId="0" xfId="0" applyFont="1" applyBorder="1" applyAlignment="1"/>
    <xf numFmtId="0" fontId="40" fillId="0" borderId="0" xfId="0" applyFont="1" applyBorder="1" applyAlignment="1">
      <alignment horizontal="right"/>
    </xf>
    <xf numFmtId="0" fontId="43" fillId="0" borderId="4" xfId="0" applyFont="1" applyBorder="1" applyAlignment="1">
      <alignment horizontal="right"/>
    </xf>
    <xf numFmtId="0" fontId="45" fillId="0" borderId="22" xfId="0" applyFont="1" applyBorder="1" applyAlignment="1" applyProtection="1">
      <alignment horizontal="right"/>
      <protection locked="0"/>
    </xf>
    <xf numFmtId="0" fontId="45" fillId="0" borderId="4" xfId="0" applyFont="1" applyBorder="1" applyAlignment="1" applyProtection="1">
      <alignment horizontal="right"/>
      <protection locked="0"/>
    </xf>
    <xf numFmtId="0" fontId="38" fillId="0" borderId="0" xfId="0" applyFont="1" applyBorder="1" applyAlignment="1"/>
    <xf numFmtId="0" fontId="10" fillId="0" borderId="0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66" fontId="51" fillId="0" borderId="24" xfId="0" applyNumberFormat="1" applyFont="1" applyBorder="1" applyAlignment="1">
      <alignment horizontal="left"/>
    </xf>
    <xf numFmtId="0" fontId="56" fillId="5" borderId="4" xfId="0" applyFont="1" applyFill="1" applyBorder="1" applyAlignment="1" applyProtection="1">
      <protection locked="0"/>
    </xf>
    <xf numFmtId="0" fontId="54" fillId="0" borderId="0" xfId="0" applyFont="1" applyFill="1" applyBorder="1" applyAlignment="1"/>
    <xf numFmtId="0" fontId="57" fillId="0" borderId="0" xfId="0" applyFont="1" applyBorder="1" applyAlignment="1"/>
    <xf numFmtId="0" fontId="10" fillId="0" borderId="0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4" fillId="0" borderId="5" xfId="0" applyFont="1" applyBorder="1" applyAlignment="1" applyProtection="1">
      <alignment horizontal="left"/>
      <protection locked="0"/>
    </xf>
    <xf numFmtId="0" fontId="44" fillId="0" borderId="2" xfId="0" applyFont="1" applyBorder="1" applyAlignment="1" applyProtection="1">
      <alignment horizontal="center"/>
      <protection locked="0"/>
    </xf>
    <xf numFmtId="0" fontId="44" fillId="0" borderId="5" xfId="0" applyFont="1" applyBorder="1" applyAlignment="1" applyProtection="1">
      <alignment horizontal="center"/>
      <protection locked="0"/>
    </xf>
    <xf numFmtId="0" fontId="44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17" fontId="29" fillId="0" borderId="24" xfId="0" applyNumberFormat="1" applyFont="1" applyBorder="1" applyAlignment="1">
      <alignment horizontal="left"/>
    </xf>
    <xf numFmtId="17" fontId="29" fillId="0" borderId="24" xfId="0" quotePrefix="1" applyNumberFormat="1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4" fillId="0" borderId="2" xfId="0" applyFont="1" applyBorder="1" applyAlignment="1" applyProtection="1">
      <alignment horizontal="left"/>
      <protection locked="0"/>
    </xf>
    <xf numFmtId="0" fontId="44" fillId="0" borderId="2" xfId="0" applyFont="1" applyBorder="1" applyAlignment="1" applyProtection="1">
      <alignment horizontal="center"/>
      <protection locked="0"/>
    </xf>
    <xf numFmtId="0" fontId="40" fillId="0" borderId="22" xfId="0" applyFont="1" applyBorder="1" applyAlignment="1">
      <alignment horizontal="right"/>
    </xf>
    <xf numFmtId="0" fontId="3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0" fillId="0" borderId="6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40" fillId="0" borderId="5" xfId="0" applyFont="1" applyBorder="1" applyAlignment="1">
      <alignment horizontal="left"/>
    </xf>
    <xf numFmtId="0" fontId="44" fillId="0" borderId="21" xfId="0" applyFont="1" applyBorder="1" applyAlignment="1" applyProtection="1">
      <alignment horizontal="left"/>
      <protection locked="0"/>
    </xf>
    <xf numFmtId="0" fontId="40" fillId="0" borderId="2" xfId="0" applyFont="1" applyBorder="1" applyAlignment="1">
      <alignment horizontal="left"/>
    </xf>
    <xf numFmtId="0" fontId="44" fillId="0" borderId="20" xfId="0" applyFont="1" applyBorder="1" applyAlignment="1" applyProtection="1">
      <alignment horizontal="left"/>
      <protection locked="0"/>
    </xf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wrapText="1"/>
    </xf>
    <xf numFmtId="0" fontId="29" fillId="0" borderId="37" xfId="0" applyFont="1" applyBorder="1" applyAlignment="1"/>
    <xf numFmtId="0" fontId="20" fillId="0" borderId="27" xfId="0" applyFont="1" applyFill="1" applyBorder="1" applyAlignment="1">
      <alignment horizontal="center"/>
    </xf>
    <xf numFmtId="0" fontId="29" fillId="0" borderId="27" xfId="0" applyFont="1" applyBorder="1" applyAlignment="1"/>
    <xf numFmtId="0" fontId="20" fillId="0" borderId="21" xfId="0" applyFont="1" applyFill="1" applyBorder="1" applyAlignment="1">
      <alignment horizontal="center"/>
    </xf>
    <xf numFmtId="0" fontId="52" fillId="0" borderId="0" xfId="0" applyFont="1" applyFill="1" applyBorder="1" applyAlignment="1"/>
    <xf numFmtId="0" fontId="17" fillId="0" borderId="20" xfId="0" applyFont="1" applyFill="1" applyBorder="1" applyAlignment="1"/>
    <xf numFmtId="0" fontId="17" fillId="0" borderId="41" xfId="0" applyFont="1" applyFill="1" applyBorder="1" applyAlignment="1"/>
    <xf numFmtId="0" fontId="17" fillId="0" borderId="42" xfId="0" applyFont="1" applyFill="1" applyBorder="1" applyAlignment="1"/>
    <xf numFmtId="0" fontId="10" fillId="0" borderId="43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17" fillId="0" borderId="45" xfId="0" applyFont="1" applyFill="1" applyBorder="1" applyAlignment="1"/>
    <xf numFmtId="0" fontId="11" fillId="0" borderId="45" xfId="0" applyFont="1" applyBorder="1" applyAlignment="1"/>
    <xf numFmtId="0" fontId="20" fillId="0" borderId="45" xfId="0" applyFont="1" applyFill="1" applyBorder="1" applyAlignment="1">
      <alignment horizontal="center"/>
    </xf>
    <xf numFmtId="0" fontId="20" fillId="0" borderId="46" xfId="0" applyFont="1" applyFill="1" applyBorder="1" applyAlignment="1">
      <alignment horizontal="center"/>
    </xf>
    <xf numFmtId="0" fontId="40" fillId="0" borderId="1" xfId="0" applyFont="1" applyBorder="1" applyAlignment="1"/>
    <xf numFmtId="0" fontId="40" fillId="0" borderId="2" xfId="0" applyFont="1" applyBorder="1" applyAlignment="1"/>
    <xf numFmtId="0" fontId="59" fillId="0" borderId="27" xfId="0" applyFont="1" applyBorder="1" applyAlignment="1"/>
    <xf numFmtId="0" fontId="59" fillId="0" borderId="0" xfId="0" applyFont="1" applyBorder="1" applyAlignment="1"/>
    <xf numFmtId="0" fontId="51" fillId="0" borderId="0" xfId="0" applyFont="1" applyBorder="1" applyAlignment="1"/>
    <xf numFmtId="0" fontId="35" fillId="0" borderId="31" xfId="0" applyFont="1" applyBorder="1" applyAlignment="1"/>
    <xf numFmtId="0" fontId="35" fillId="0" borderId="29" xfId="0" applyFont="1" applyBorder="1" applyAlignment="1"/>
    <xf numFmtId="0" fontId="38" fillId="0" borderId="29" xfId="0" applyFont="1" applyBorder="1" applyAlignment="1"/>
    <xf numFmtId="0" fontId="34" fillId="0" borderId="25" xfId="0" applyFont="1" applyBorder="1" applyAlignment="1"/>
    <xf numFmtId="1" fontId="35" fillId="0" borderId="25" xfId="0" applyNumberFormat="1" applyFont="1" applyBorder="1" applyAlignment="1"/>
    <xf numFmtId="0" fontId="48" fillId="0" borderId="48" xfId="0" applyFont="1" applyBorder="1" applyAlignment="1"/>
    <xf numFmtId="0" fontId="17" fillId="0" borderId="33" xfId="0" applyFont="1" applyBorder="1" applyAlignment="1"/>
    <xf numFmtId="0" fontId="17" fillId="0" borderId="34" xfId="0" applyFont="1" applyBorder="1" applyAlignment="1"/>
    <xf numFmtId="0" fontId="19" fillId="0" borderId="48" xfId="0" applyFont="1" applyBorder="1" applyAlignment="1" applyProtection="1">
      <alignment horizontal="right"/>
      <protection locked="0"/>
    </xf>
    <xf numFmtId="0" fontId="17" fillId="0" borderId="35" xfId="0" applyFont="1" applyBorder="1" applyAlignment="1"/>
    <xf numFmtId="0" fontId="17" fillId="0" borderId="33" xfId="0" applyFont="1" applyBorder="1" applyAlignment="1">
      <alignment horizontal="center"/>
    </xf>
    <xf numFmtId="0" fontId="27" fillId="0" borderId="36" xfId="0" applyFont="1" applyBorder="1" applyAlignment="1"/>
    <xf numFmtId="0" fontId="61" fillId="0" borderId="27" xfId="0" applyFont="1" applyBorder="1" applyAlignment="1"/>
    <xf numFmtId="0" fontId="61" fillId="0" borderId="0" xfId="0" applyFont="1" applyBorder="1" applyAlignment="1">
      <alignment horizontal="right"/>
    </xf>
    <xf numFmtId="0" fontId="61" fillId="0" borderId="28" xfId="0" applyFont="1" applyBorder="1" applyAlignment="1">
      <alignment horizontal="right"/>
    </xf>
    <xf numFmtId="0" fontId="61" fillId="0" borderId="0" xfId="0" applyFont="1" applyBorder="1" applyAlignment="1"/>
    <xf numFmtId="0" fontId="61" fillId="0" borderId="29" xfId="0" applyFont="1" applyBorder="1" applyAlignment="1"/>
    <xf numFmtId="1" fontId="61" fillId="0" borderId="27" xfId="0" applyNumberFormat="1" applyFont="1" applyBorder="1" applyAlignment="1"/>
    <xf numFmtId="1" fontId="61" fillId="0" borderId="0" xfId="0" applyNumberFormat="1" applyFont="1" applyBorder="1" applyAlignment="1">
      <alignment horizontal="right"/>
    </xf>
    <xf numFmtId="1" fontId="61" fillId="0" borderId="28" xfId="0" applyNumberFormat="1" applyFont="1" applyBorder="1" applyAlignment="1">
      <alignment horizontal="right"/>
    </xf>
    <xf numFmtId="1" fontId="61" fillId="0" borderId="0" xfId="0" applyNumberFormat="1" applyFont="1" applyBorder="1" applyAlignment="1"/>
    <xf numFmtId="1" fontId="61" fillId="0" borderId="29" xfId="0" applyNumberFormat="1" applyFont="1" applyBorder="1" applyAlignment="1"/>
    <xf numFmtId="1" fontId="61" fillId="0" borderId="20" xfId="0" applyNumberFormat="1" applyFont="1" applyBorder="1" applyAlignment="1"/>
    <xf numFmtId="1" fontId="61" fillId="0" borderId="19" xfId="0" applyNumberFormat="1" applyFont="1" applyBorder="1" applyAlignment="1"/>
    <xf numFmtId="1" fontId="61" fillId="0" borderId="21" xfId="0" applyNumberFormat="1" applyFont="1" applyBorder="1" applyAlignment="1"/>
    <xf numFmtId="1" fontId="61" fillId="0" borderId="20" xfId="0" applyNumberFormat="1" applyFont="1" applyBorder="1" applyAlignment="1">
      <alignment horizontal="right"/>
    </xf>
    <xf numFmtId="1" fontId="61" fillId="0" borderId="12" xfId="0" applyNumberFormat="1" applyFont="1" applyBorder="1" applyAlignment="1"/>
    <xf numFmtId="1" fontId="61" fillId="0" borderId="13" xfId="0" applyNumberFormat="1" applyFont="1" applyBorder="1" applyAlignment="1"/>
    <xf numFmtId="1" fontId="61" fillId="0" borderId="14" xfId="0" applyNumberFormat="1" applyFont="1" applyBorder="1" applyAlignment="1"/>
    <xf numFmtId="1" fontId="61" fillId="0" borderId="13" xfId="0" applyNumberFormat="1" applyFont="1" applyBorder="1" applyAlignment="1">
      <alignment horizontal="right"/>
    </xf>
    <xf numFmtId="1" fontId="61" fillId="0" borderId="31" xfId="0" applyNumberFormat="1" applyFont="1" applyBorder="1" applyAlignment="1">
      <alignment horizontal="right"/>
    </xf>
    <xf numFmtId="1" fontId="61" fillId="0" borderId="28" xfId="0" applyNumberFormat="1" applyFont="1" applyBorder="1" applyAlignment="1"/>
    <xf numFmtId="1" fontId="61" fillId="0" borderId="29" xfId="0" applyNumberFormat="1" applyFont="1" applyBorder="1" applyAlignment="1">
      <alignment horizontal="right"/>
    </xf>
    <xf numFmtId="1" fontId="61" fillId="0" borderId="19" xfId="0" applyNumberFormat="1" applyFont="1" applyBorder="1" applyAlignment="1">
      <alignment horizontal="right"/>
    </xf>
    <xf numFmtId="1" fontId="61" fillId="0" borderId="27" xfId="0" applyNumberFormat="1" applyFont="1" applyBorder="1" applyAlignment="1">
      <alignment horizontal="right"/>
    </xf>
    <xf numFmtId="0" fontId="61" fillId="0" borderId="13" xfId="0" applyFont="1" applyBorder="1" applyAlignment="1"/>
    <xf numFmtId="0" fontId="61" fillId="0" borderId="12" xfId="0" applyFont="1" applyBorder="1" applyAlignment="1"/>
    <xf numFmtId="0" fontId="61" fillId="0" borderId="14" xfId="0" applyFont="1" applyBorder="1" applyAlignment="1"/>
    <xf numFmtId="0" fontId="61" fillId="6" borderId="0" xfId="0" applyFont="1" applyFill="1" applyBorder="1" applyAlignment="1"/>
    <xf numFmtId="0" fontId="61" fillId="0" borderId="28" xfId="0" applyFont="1" applyBorder="1" applyAlignment="1"/>
    <xf numFmtId="0" fontId="61" fillId="0" borderId="0" xfId="0" applyFont="1" applyBorder="1" applyAlignment="1">
      <alignment horizontal="center"/>
    </xf>
    <xf numFmtId="0" fontId="61" fillId="0" borderId="27" xfId="0" applyFont="1" applyBorder="1" applyAlignment="1">
      <alignment horizontal="right"/>
    </xf>
    <xf numFmtId="0" fontId="61" fillId="0" borderId="20" xfId="0" applyFont="1" applyBorder="1" applyAlignment="1">
      <alignment horizontal="center"/>
    </xf>
    <xf numFmtId="0" fontId="61" fillId="0" borderId="19" xfId="0" applyFont="1" applyBorder="1" applyAlignment="1">
      <alignment horizontal="right"/>
    </xf>
    <xf numFmtId="0" fontId="62" fillId="0" borderId="0" xfId="0" applyFont="1" applyBorder="1" applyAlignment="1">
      <alignment horizontal="right"/>
    </xf>
    <xf numFmtId="0" fontId="61" fillId="0" borderId="27" xfId="0" applyFont="1" applyBorder="1" applyAlignment="1" applyProtection="1">
      <protection locked="0"/>
    </xf>
    <xf numFmtId="0" fontId="61" fillId="0" borderId="0" xfId="0" applyFont="1" applyBorder="1" applyAlignment="1" applyProtection="1">
      <protection locked="0"/>
    </xf>
    <xf numFmtId="0" fontId="61" fillId="0" borderId="28" xfId="0" applyFont="1" applyBorder="1" applyAlignment="1" applyProtection="1">
      <protection locked="0"/>
    </xf>
    <xf numFmtId="0" fontId="61" fillId="0" borderId="0" xfId="0" applyFont="1" applyBorder="1" applyAlignment="1" applyProtection="1">
      <alignment horizontal="right"/>
      <protection locked="0"/>
    </xf>
    <xf numFmtId="0" fontId="61" fillId="0" borderId="27" xfId="0" applyFont="1" applyBorder="1" applyAlignment="1" applyProtection="1">
      <alignment horizontal="right"/>
      <protection locked="0"/>
    </xf>
    <xf numFmtId="0" fontId="61" fillId="0" borderId="19" xfId="0" applyFont="1" applyBorder="1" applyAlignment="1" applyProtection="1">
      <alignment horizontal="right"/>
      <protection locked="0"/>
    </xf>
    <xf numFmtId="0" fontId="61" fillId="0" borderId="20" xfId="0" applyFont="1" applyBorder="1" applyAlignment="1" applyProtection="1">
      <alignment horizontal="right"/>
      <protection locked="0"/>
    </xf>
    <xf numFmtId="0" fontId="64" fillId="0" borderId="0" xfId="0" applyFont="1" applyBorder="1" applyAlignment="1"/>
    <xf numFmtId="0" fontId="51" fillId="0" borderId="33" xfId="0" applyFont="1" applyBorder="1" applyAlignment="1"/>
    <xf numFmtId="0" fontId="29" fillId="0" borderId="13" xfId="0" applyFont="1" applyBorder="1" applyAlignment="1">
      <alignment horizontal="left"/>
    </xf>
    <xf numFmtId="0" fontId="40" fillId="0" borderId="49" xfId="0" applyFont="1" applyBorder="1" applyAlignment="1"/>
    <xf numFmtId="0" fontId="65" fillId="0" borderId="0" xfId="0" applyFont="1" applyAlignment="1" applyProtection="1">
      <alignment vertical="center" wrapText="1"/>
      <protection locked="0"/>
    </xf>
    <xf numFmtId="0" fontId="10" fillId="5" borderId="1" xfId="0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right" vertical="center"/>
      <protection locked="0"/>
    </xf>
    <xf numFmtId="0" fontId="10" fillId="5" borderId="5" xfId="0" applyFont="1" applyFill="1" applyBorder="1" applyAlignment="1" applyProtection="1">
      <alignment horizontal="right" vertical="center"/>
      <protection locked="0"/>
    </xf>
    <xf numFmtId="0" fontId="19" fillId="3" borderId="0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 applyProtection="1">
      <alignment horizontal="right"/>
      <protection locked="0"/>
    </xf>
    <xf numFmtId="0" fontId="18" fillId="5" borderId="2" xfId="0" applyFont="1" applyFill="1" applyBorder="1" applyAlignment="1" applyProtection="1">
      <alignment horizontal="right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3" fontId="20" fillId="5" borderId="1" xfId="0" applyNumberFormat="1" applyFont="1" applyFill="1" applyBorder="1" applyAlignment="1" applyProtection="1">
      <alignment horizontal="right" vertical="center"/>
      <protection locked="0"/>
    </xf>
    <xf numFmtId="0" fontId="20" fillId="5" borderId="2" xfId="0" applyFont="1" applyFill="1" applyBorder="1" applyAlignment="1" applyProtection="1">
      <alignment horizontal="right" vertical="center"/>
      <protection locked="0"/>
    </xf>
    <xf numFmtId="0" fontId="20" fillId="5" borderId="5" xfId="0" applyFont="1" applyFill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0" fillId="5" borderId="1" xfId="0" applyFont="1" applyFill="1" applyBorder="1" applyAlignment="1" applyProtection="1">
      <alignment horizontal="right" vertical="center"/>
      <protection locked="0"/>
    </xf>
    <xf numFmtId="0" fontId="20" fillId="5" borderId="4" xfId="0" applyFont="1" applyFill="1" applyBorder="1" applyAlignment="1" applyProtection="1">
      <alignment horizontal="right" vertic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3" fillId="5" borderId="4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54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14" fontId="49" fillId="4" borderId="4" xfId="0" applyNumberFormat="1" applyFont="1" applyFill="1" applyBorder="1" applyAlignment="1" applyProtection="1">
      <alignment horizontal="left" vertical="center"/>
      <protection locked="0"/>
    </xf>
    <xf numFmtId="14" fontId="6" fillId="4" borderId="4" xfId="0" applyNumberFormat="1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left" vertical="center"/>
    </xf>
    <xf numFmtId="0" fontId="18" fillId="5" borderId="1" xfId="0" applyFont="1" applyFill="1" applyBorder="1" applyAlignment="1" applyProtection="1">
      <alignment horizontal="center"/>
      <protection locked="0"/>
    </xf>
    <xf numFmtId="0" fontId="18" fillId="5" borderId="2" xfId="0" applyFont="1" applyFill="1" applyBorder="1" applyAlignment="1" applyProtection="1">
      <alignment horizontal="center"/>
      <protection locked="0"/>
    </xf>
    <xf numFmtId="0" fontId="18" fillId="5" borderId="5" xfId="0" applyFont="1" applyFill="1" applyBorder="1" applyAlignment="1" applyProtection="1">
      <alignment horizontal="center"/>
      <protection locked="0"/>
    </xf>
    <xf numFmtId="0" fontId="18" fillId="5" borderId="2" xfId="0" applyFont="1" applyFill="1" applyBorder="1" applyAlignment="1" applyProtection="1">
      <alignment horizontal="left"/>
      <protection locked="0"/>
    </xf>
    <xf numFmtId="0" fontId="18" fillId="5" borderId="5" xfId="0" applyFont="1" applyFill="1" applyBorder="1" applyAlignment="1" applyProtection="1">
      <alignment horizontal="left"/>
      <protection locked="0"/>
    </xf>
    <xf numFmtId="0" fontId="49" fillId="4" borderId="4" xfId="0" applyFont="1" applyFill="1" applyBorder="1" applyAlignment="1" applyProtection="1">
      <alignment horizontal="left" vertical="center"/>
      <protection locked="0"/>
    </xf>
    <xf numFmtId="0" fontId="14" fillId="3" borderId="26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8" fillId="5" borderId="26" xfId="0" applyFont="1" applyFill="1" applyBorder="1" applyAlignment="1" applyProtection="1">
      <alignment horizontal="center"/>
      <protection locked="0"/>
    </xf>
    <xf numFmtId="0" fontId="50" fillId="5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5" fillId="3" borderId="2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" fontId="20" fillId="5" borderId="1" xfId="0" applyNumberFormat="1" applyFont="1" applyFill="1" applyBorder="1" applyAlignment="1" applyProtection="1">
      <alignment horizontal="right" vertical="center"/>
      <protection locked="0"/>
    </xf>
    <xf numFmtId="1" fontId="20" fillId="5" borderId="2" xfId="0" applyNumberFormat="1" applyFont="1" applyFill="1" applyBorder="1" applyAlignment="1" applyProtection="1">
      <alignment horizontal="right" vertical="center"/>
      <protection locked="0"/>
    </xf>
    <xf numFmtId="1" fontId="20" fillId="5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5" borderId="13" xfId="0" applyFont="1" applyFill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49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19" fillId="3" borderId="13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" fontId="60" fillId="0" borderId="0" xfId="0" applyNumberFormat="1" applyFont="1" applyBorder="1" applyAlignment="1">
      <alignment horizontal="right"/>
    </xf>
    <xf numFmtId="1" fontId="60" fillId="0" borderId="28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1" fontId="61" fillId="0" borderId="19" xfId="0" applyNumberFormat="1" applyFont="1" applyBorder="1" applyAlignment="1">
      <alignment horizontal="right"/>
    </xf>
    <xf numFmtId="1" fontId="61" fillId="0" borderId="20" xfId="0" applyNumberFormat="1" applyFont="1" applyBorder="1" applyAlignment="1">
      <alignment horizontal="right"/>
    </xf>
    <xf numFmtId="1" fontId="61" fillId="0" borderId="21" xfId="0" applyNumberFormat="1" applyFont="1" applyBorder="1" applyAlignment="1">
      <alignment horizontal="right"/>
    </xf>
    <xf numFmtId="0" fontId="29" fillId="0" borderId="28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6" borderId="0" xfId="0" applyFont="1" applyFill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28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9" fillId="0" borderId="2" xfId="0" applyFont="1" applyBorder="1" applyAlignment="1">
      <alignment horizontal="right"/>
    </xf>
    <xf numFmtId="0" fontId="29" fillId="0" borderId="2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29" fillId="0" borderId="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31" fillId="0" borderId="13" xfId="0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1" fontId="60" fillId="6" borderId="0" xfId="0" applyNumberFormat="1" applyFont="1" applyFill="1" applyBorder="1" applyAlignment="1">
      <alignment horizontal="right"/>
    </xf>
    <xf numFmtId="1" fontId="60" fillId="6" borderId="28" xfId="0" applyNumberFormat="1" applyFont="1" applyFill="1" applyBorder="1" applyAlignment="1">
      <alignment horizontal="right"/>
    </xf>
    <xf numFmtId="0" fontId="29" fillId="0" borderId="17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1" fontId="60" fillId="6" borderId="20" xfId="0" applyNumberFormat="1" applyFont="1" applyFill="1" applyBorder="1" applyAlignment="1">
      <alignment horizontal="right"/>
    </xf>
    <xf numFmtId="1" fontId="60" fillId="6" borderId="21" xfId="0" applyNumberFormat="1" applyFont="1" applyFill="1" applyBorder="1" applyAlignment="1">
      <alignment horizontal="right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29" fillId="0" borderId="15" xfId="0" applyFont="1" applyBorder="1" applyAlignment="1">
      <alignment horizontal="center" wrapText="1"/>
    </xf>
    <xf numFmtId="1" fontId="60" fillId="0" borderId="2" xfId="0" applyNumberFormat="1" applyFont="1" applyBorder="1" applyAlignment="1">
      <alignment horizontal="right"/>
    </xf>
    <xf numFmtId="1" fontId="60" fillId="0" borderId="5" xfId="0" applyNumberFormat="1" applyFont="1" applyBorder="1" applyAlignment="1">
      <alignment horizontal="right"/>
    </xf>
    <xf numFmtId="1" fontId="60" fillId="6" borderId="30" xfId="0" applyNumberFormat="1" applyFont="1" applyFill="1" applyBorder="1" applyAlignment="1">
      <alignment horizontal="right"/>
    </xf>
    <xf numFmtId="1" fontId="61" fillId="6" borderId="0" xfId="0" applyNumberFormat="1" applyFont="1" applyFill="1" applyBorder="1" applyAlignment="1">
      <alignment horizontal="right"/>
    </xf>
    <xf numFmtId="1" fontId="61" fillId="6" borderId="28" xfId="0" applyNumberFormat="1" applyFont="1" applyFill="1" applyBorder="1" applyAlignment="1">
      <alignment horizontal="right"/>
    </xf>
    <xf numFmtId="0" fontId="29" fillId="0" borderId="33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1" fontId="61" fillId="0" borderId="13" xfId="0" applyNumberFormat="1" applyFont="1" applyBorder="1" applyAlignment="1">
      <alignment horizontal="right"/>
    </xf>
    <xf numFmtId="1" fontId="61" fillId="0" borderId="14" xfId="0" applyNumberFormat="1" applyFont="1" applyBorder="1" applyAlignment="1">
      <alignment horizontal="right"/>
    </xf>
    <xf numFmtId="0" fontId="29" fillId="0" borderId="11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11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3" fontId="29" fillId="0" borderId="1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9" fillId="0" borderId="5" xfId="0" applyFont="1" applyBorder="1" applyAlignment="1">
      <alignment horizontal="right"/>
    </xf>
    <xf numFmtId="0" fontId="10" fillId="0" borderId="19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1" fontId="60" fillId="0" borderId="20" xfId="0" applyNumberFormat="1" applyFont="1" applyBorder="1" applyAlignment="1">
      <alignment horizontal="right"/>
    </xf>
    <xf numFmtId="1" fontId="60" fillId="0" borderId="30" xfId="0" applyNumberFormat="1" applyFont="1" applyBorder="1" applyAlignment="1">
      <alignment horizontal="right"/>
    </xf>
    <xf numFmtId="1" fontId="60" fillId="6" borderId="13" xfId="0" applyNumberFormat="1" applyFont="1" applyFill="1" applyBorder="1" applyAlignment="1">
      <alignment horizontal="right"/>
    </xf>
    <xf numFmtId="1" fontId="60" fillId="6" borderId="14" xfId="0" applyNumberFormat="1" applyFont="1" applyFill="1" applyBorder="1" applyAlignment="1">
      <alignment horizontal="right"/>
    </xf>
    <xf numFmtId="0" fontId="60" fillId="0" borderId="13" xfId="0" applyFont="1" applyBorder="1" applyAlignment="1">
      <alignment horizontal="right"/>
    </xf>
    <xf numFmtId="0" fontId="60" fillId="0" borderId="31" xfId="0" applyFont="1" applyBorder="1" applyAlignment="1">
      <alignment horizontal="right"/>
    </xf>
    <xf numFmtId="0" fontId="60" fillId="0" borderId="0" xfId="0" applyFont="1" applyBorder="1" applyAlignment="1">
      <alignment horizontal="right"/>
    </xf>
    <xf numFmtId="0" fontId="60" fillId="0" borderId="29" xfId="0" applyFont="1" applyBorder="1" applyAlignment="1">
      <alignment horizontal="right"/>
    </xf>
    <xf numFmtId="1" fontId="60" fillId="6" borderId="2" xfId="0" applyNumberFormat="1" applyFont="1" applyFill="1" applyBorder="1" applyAlignment="1">
      <alignment horizontal="right"/>
    </xf>
    <xf numFmtId="1" fontId="60" fillId="6" borderId="5" xfId="0" applyNumberFormat="1" applyFont="1" applyFill="1" applyBorder="1" applyAlignment="1">
      <alignment horizontal="right"/>
    </xf>
    <xf numFmtId="1" fontId="61" fillId="0" borderId="20" xfId="0" applyNumberFormat="1" applyFont="1" applyBorder="1" applyAlignment="1" applyProtection="1">
      <alignment horizontal="right"/>
      <protection locked="0"/>
    </xf>
    <xf numFmtId="1" fontId="61" fillId="0" borderId="21" xfId="0" applyNumberFormat="1" applyFont="1" applyBorder="1" applyAlignment="1" applyProtection="1">
      <alignment horizontal="right"/>
      <protection locked="0"/>
    </xf>
    <xf numFmtId="1" fontId="60" fillId="6" borderId="20" xfId="0" applyNumberFormat="1" applyFont="1" applyFill="1" applyBorder="1" applyAlignment="1" applyProtection="1">
      <alignment horizontal="right"/>
      <protection locked="0"/>
    </xf>
    <xf numFmtId="1" fontId="60" fillId="6" borderId="30" xfId="0" applyNumberFormat="1" applyFont="1" applyFill="1" applyBorder="1" applyAlignment="1" applyProtection="1">
      <alignment horizontal="right"/>
      <protection locked="0"/>
    </xf>
    <xf numFmtId="0" fontId="29" fillId="0" borderId="32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9" fillId="0" borderId="19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29" xfId="0" applyFont="1" applyFill="1" applyBorder="1" applyAlignment="1">
      <alignment horizontal="center"/>
    </xf>
    <xf numFmtId="1" fontId="60" fillId="6" borderId="3" xfId="0" applyNumberFormat="1" applyFont="1" applyFill="1" applyBorder="1" applyAlignment="1">
      <alignment horizontal="right"/>
    </xf>
    <xf numFmtId="1" fontId="60" fillId="6" borderId="0" xfId="0" applyNumberFormat="1" applyFont="1" applyFill="1" applyBorder="1" applyAlignment="1">
      <alignment horizontal="center"/>
    </xf>
    <xf numFmtId="1" fontId="60" fillId="6" borderId="0" xfId="0" applyNumberFormat="1" applyFont="1" applyFill="1" applyBorder="1" applyAlignment="1" applyProtection="1">
      <alignment horizontal="right"/>
      <protection locked="0"/>
    </xf>
    <xf numFmtId="1" fontId="60" fillId="6" borderId="29" xfId="0" applyNumberFormat="1" applyFont="1" applyFill="1" applyBorder="1" applyAlignment="1" applyProtection="1">
      <alignment horizontal="right"/>
      <protection locked="0"/>
    </xf>
    <xf numFmtId="1" fontId="61" fillId="0" borderId="0" xfId="0" applyNumberFormat="1" applyFont="1" applyBorder="1" applyAlignment="1" applyProtection="1">
      <alignment horizontal="right"/>
      <protection locked="0"/>
    </xf>
    <xf numFmtId="1" fontId="61" fillId="0" borderId="28" xfId="0" applyNumberFormat="1" applyFont="1" applyBorder="1" applyAlignment="1" applyProtection="1">
      <alignment horizontal="right"/>
      <protection locked="0"/>
    </xf>
    <xf numFmtId="1" fontId="60" fillId="6" borderId="20" xfId="0" applyNumberFormat="1" applyFont="1" applyFill="1" applyBorder="1" applyAlignment="1">
      <alignment horizontal="center"/>
    </xf>
    <xf numFmtId="1" fontId="60" fillId="6" borderId="0" xfId="1" applyNumberFormat="1" applyFont="1" applyFill="1" applyBorder="1" applyAlignment="1" applyProtection="1">
      <alignment horizontal="center"/>
    </xf>
    <xf numFmtId="1" fontId="61" fillId="0" borderId="2" xfId="0" applyNumberFormat="1" applyFont="1" applyBorder="1" applyAlignment="1">
      <alignment horizontal="right"/>
    </xf>
    <xf numFmtId="1" fontId="61" fillId="0" borderId="5" xfId="0" applyNumberFormat="1" applyFont="1" applyBorder="1" applyAlignment="1">
      <alignment horizontal="right"/>
    </xf>
    <xf numFmtId="0" fontId="60" fillId="6" borderId="0" xfId="0" applyFont="1" applyFill="1" applyBorder="1" applyAlignment="1">
      <alignment horizontal="right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1" fontId="60" fillId="6" borderId="28" xfId="0" applyNumberFormat="1" applyFont="1" applyFill="1" applyBorder="1" applyAlignment="1">
      <alignment horizontal="center"/>
    </xf>
    <xf numFmtId="1" fontId="60" fillId="6" borderId="33" xfId="0" applyNumberFormat="1" applyFont="1" applyFill="1" applyBorder="1" applyAlignment="1" applyProtection="1">
      <alignment horizontal="right"/>
      <protection locked="0"/>
    </xf>
    <xf numFmtId="1" fontId="60" fillId="6" borderId="36" xfId="0" applyNumberFormat="1" applyFont="1" applyFill="1" applyBorder="1" applyAlignment="1" applyProtection="1">
      <alignment horizontal="right"/>
      <protection locked="0"/>
    </xf>
    <xf numFmtId="0" fontId="32" fillId="0" borderId="0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167" fontId="10" fillId="0" borderId="0" xfId="0" applyNumberFormat="1" applyFont="1" applyFill="1" applyBorder="1" applyAlignment="1">
      <alignment horizontal="left"/>
    </xf>
    <xf numFmtId="0" fontId="17" fillId="0" borderId="27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1" fontId="62" fillId="6" borderId="0" xfId="0" applyNumberFormat="1" applyFont="1" applyFill="1" applyBorder="1" applyAlignment="1">
      <alignment horizontal="right"/>
    </xf>
    <xf numFmtId="1" fontId="62" fillId="6" borderId="29" xfId="0" applyNumberFormat="1" applyFont="1" applyFill="1" applyBorder="1" applyAlignment="1">
      <alignment horizontal="right"/>
    </xf>
    <xf numFmtId="1" fontId="61" fillId="6" borderId="13" xfId="0" applyNumberFormat="1" applyFont="1" applyFill="1" applyBorder="1" applyAlignment="1">
      <alignment horizontal="center"/>
    </xf>
    <xf numFmtId="1" fontId="61" fillId="6" borderId="0" xfId="0" applyNumberFormat="1" applyFont="1" applyFill="1" applyBorder="1" applyAlignment="1" applyProtection="1">
      <alignment horizontal="right"/>
      <protection locked="0"/>
    </xf>
    <xf numFmtId="1" fontId="61" fillId="6" borderId="29" xfId="0" applyNumberFormat="1" applyFont="1" applyFill="1" applyBorder="1" applyAlignment="1" applyProtection="1">
      <alignment horizontal="right"/>
      <protection locked="0"/>
    </xf>
    <xf numFmtId="9" fontId="61" fillId="0" borderId="0" xfId="0" applyNumberFormat="1" applyFont="1" applyBorder="1" applyAlignment="1">
      <alignment horizontal="center"/>
    </xf>
    <xf numFmtId="9" fontId="61" fillId="0" borderId="28" xfId="0" applyNumberFormat="1" applyFont="1" applyBorder="1" applyAlignment="1">
      <alignment horizontal="center"/>
    </xf>
    <xf numFmtId="1" fontId="60" fillId="6" borderId="31" xfId="0" applyNumberFormat="1" applyFont="1" applyFill="1" applyBorder="1" applyAlignment="1">
      <alignment horizontal="right"/>
    </xf>
    <xf numFmtId="9" fontId="61" fillId="0" borderId="20" xfId="0" applyNumberFormat="1" applyFont="1" applyBorder="1" applyAlignment="1">
      <alignment horizontal="center"/>
    </xf>
    <xf numFmtId="9" fontId="61" fillId="0" borderId="21" xfId="0" applyNumberFormat="1" applyFont="1" applyBorder="1" applyAlignment="1">
      <alignment horizontal="center"/>
    </xf>
    <xf numFmtId="0" fontId="63" fillId="0" borderId="14" xfId="0" applyFont="1" applyBorder="1" applyAlignment="1" applyProtection="1">
      <alignment horizontal="center" vertical="center"/>
      <protection locked="0"/>
    </xf>
    <xf numFmtId="1" fontId="60" fillId="6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1" fontId="61" fillId="6" borderId="20" xfId="0" applyNumberFormat="1" applyFont="1" applyFill="1" applyBorder="1" applyAlignment="1">
      <alignment horizontal="center"/>
    </xf>
    <xf numFmtId="1" fontId="61" fillId="6" borderId="21" xfId="0" applyNumberFormat="1" applyFont="1" applyFill="1" applyBorder="1" applyAlignment="1">
      <alignment horizontal="center"/>
    </xf>
    <xf numFmtId="0" fontId="29" fillId="0" borderId="19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wrapText="1"/>
    </xf>
    <xf numFmtId="0" fontId="29" fillId="0" borderId="23" xfId="0" applyFont="1" applyBorder="1" applyAlignment="1">
      <alignment horizont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32" fillId="0" borderId="13" xfId="0" applyFont="1" applyBorder="1" applyAlignment="1">
      <alignment horizontal="right"/>
    </xf>
    <xf numFmtId="0" fontId="32" fillId="0" borderId="31" xfId="0" applyFont="1" applyBorder="1" applyAlignment="1">
      <alignment horizontal="right"/>
    </xf>
    <xf numFmtId="0" fontId="55" fillId="0" borderId="2" xfId="0" applyFont="1" applyFill="1" applyBorder="1" applyAlignment="1" applyProtection="1">
      <alignment horizontal="left"/>
      <protection locked="0"/>
    </xf>
    <xf numFmtId="0" fontId="55" fillId="0" borderId="5" xfId="0" applyFont="1" applyFill="1" applyBorder="1" applyAlignment="1" applyProtection="1">
      <alignment horizontal="left"/>
      <protection locked="0"/>
    </xf>
    <xf numFmtId="0" fontId="44" fillId="0" borderId="1" xfId="0" applyFont="1" applyBorder="1" applyAlignment="1" applyProtection="1">
      <alignment horizontal="center"/>
      <protection locked="0"/>
    </xf>
    <xf numFmtId="0" fontId="44" fillId="0" borderId="2" xfId="0" applyFont="1" applyBorder="1" applyAlignment="1" applyProtection="1">
      <alignment horizontal="center"/>
      <protection locked="0"/>
    </xf>
    <xf numFmtId="0" fontId="44" fillId="0" borderId="5" xfId="0" applyFont="1" applyBorder="1" applyAlignment="1" applyProtection="1">
      <alignment horizontal="center"/>
      <protection locked="0"/>
    </xf>
    <xf numFmtId="0" fontId="51" fillId="0" borderId="8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2" fillId="0" borderId="38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40" xfId="0" applyFont="1" applyFill="1" applyBorder="1" applyAlignment="1">
      <alignment horizontal="center"/>
    </xf>
    <xf numFmtId="3" fontId="42" fillId="6" borderId="4" xfId="0" applyNumberFormat="1" applyFont="1" applyFill="1" applyBorder="1" applyAlignment="1" applyProtection="1">
      <alignment horizontal="right"/>
      <protection locked="0"/>
    </xf>
    <xf numFmtId="0" fontId="42" fillId="6" borderId="4" xfId="0" applyFont="1" applyFill="1" applyBorder="1" applyAlignment="1" applyProtection="1">
      <alignment horizontal="right"/>
      <protection locked="0"/>
    </xf>
    <xf numFmtId="0" fontId="44" fillId="0" borderId="4" xfId="0" applyFont="1" applyBorder="1" applyAlignment="1" applyProtection="1">
      <alignment horizontal="left"/>
      <protection locked="0"/>
    </xf>
    <xf numFmtId="0" fontId="44" fillId="0" borderId="1" xfId="0" applyFont="1" applyBorder="1" applyAlignment="1" applyProtection="1">
      <alignment horizontal="left"/>
      <protection locked="0"/>
    </xf>
    <xf numFmtId="0" fontId="17" fillId="0" borderId="6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3" fontId="42" fillId="6" borderId="1" xfId="0" applyNumberFormat="1" applyFont="1" applyFill="1" applyBorder="1" applyAlignment="1" applyProtection="1">
      <alignment horizontal="right"/>
      <protection locked="0"/>
    </xf>
    <xf numFmtId="3" fontId="42" fillId="6" borderId="5" xfId="0" applyNumberFormat="1" applyFont="1" applyFill="1" applyBorder="1" applyAlignment="1" applyProtection="1">
      <alignment horizontal="right"/>
      <protection locked="0"/>
    </xf>
    <xf numFmtId="0" fontId="58" fillId="0" borderId="4" xfId="0" applyFont="1" applyBorder="1" applyAlignment="1" applyProtection="1">
      <alignment horizontal="left"/>
      <protection locked="0"/>
    </xf>
    <xf numFmtId="0" fontId="58" fillId="0" borderId="1" xfId="0" applyFont="1" applyBorder="1" applyAlignment="1" applyProtection="1">
      <alignment horizontal="left"/>
      <protection locked="0"/>
    </xf>
    <xf numFmtId="0" fontId="44" fillId="0" borderId="2" xfId="0" applyFont="1" applyBorder="1" applyAlignment="1" applyProtection="1">
      <alignment horizontal="left"/>
      <protection locked="0"/>
    </xf>
    <xf numFmtId="0" fontId="41" fillId="0" borderId="0" xfId="0" applyFont="1" applyBorder="1" applyAlignment="1">
      <alignment horizontal="right"/>
    </xf>
    <xf numFmtId="0" fontId="43" fillId="6" borderId="4" xfId="0" applyFont="1" applyFill="1" applyBorder="1" applyAlignment="1">
      <alignment horizontal="right"/>
    </xf>
    <xf numFmtId="0" fontId="40" fillId="0" borderId="4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3" fontId="42" fillId="6" borderId="22" xfId="0" applyNumberFormat="1" applyFont="1" applyFill="1" applyBorder="1" applyAlignment="1" applyProtection="1">
      <alignment horizontal="right"/>
      <protection locked="0"/>
    </xf>
    <xf numFmtId="0" fontId="42" fillId="6" borderId="22" xfId="0" applyFont="1" applyFill="1" applyBorder="1" applyAlignment="1" applyProtection="1">
      <alignment horizontal="right"/>
      <protection locked="0"/>
    </xf>
    <xf numFmtId="0" fontId="42" fillId="0" borderId="19" xfId="0" applyFont="1" applyBorder="1" applyAlignment="1">
      <alignment horizontal="right"/>
    </xf>
    <xf numFmtId="0" fontId="42" fillId="0" borderId="21" xfId="0" applyFont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4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85342</xdr:colOff>
      <xdr:row>0</xdr:row>
      <xdr:rowOff>88552</xdr:rowOff>
    </xdr:from>
    <xdr:to>
      <xdr:col>18</xdr:col>
      <xdr:colOff>19221</xdr:colOff>
      <xdr:row>30</xdr:row>
      <xdr:rowOff>37951</xdr:rowOff>
    </xdr:to>
    <xdr:sp macro="" textlink="">
      <xdr:nvSpPr>
        <xdr:cNvPr id="2" name="rect"/>
        <xdr:cNvSpPr/>
      </xdr:nvSpPr>
      <xdr:spPr>
        <a:xfrm>
          <a:off x="85651" y="101203"/>
          <a:ext cx="13145460" cy="56569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ctr"/>
        <a:lstStyle/>
        <a:p>
          <a:pPr algn="l"/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Fwpg;G: </a:t>
          </a:r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Enter 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vd;W Fwpg;gpl;Ls;s 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Work Sheet 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y; ePyepw </a:t>
          </a:r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Cell 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fspy;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cq;fs; tUkhdj;jpd; jfty;fis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mspj;jhy; </a:t>
          </a:r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IT Statement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 I 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Old method Sheet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 Nyh my;yJ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Arial Black" panose="00000000000000000000" charset="0"/>
              <a:ea typeface="Arial Black" panose="00000000000000000000" charset="0"/>
            </a:rPr>
            <a:t>New method Sheet  </a:t>
          </a:r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Nyh cq;fs;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tUkhdthp Fwpj;j jftiy ngw;Wnfhs;syhk;</a:t>
          </a:r>
        </a:p>
        <a:p>
          <a:pPr algn="l"/>
          <a:r>
            <a:rPr lang="en-US" altLang="zh-CN" sz="4000" b="1">
              <a:solidFill>
                <a:srgbClr val="FF0000"/>
              </a:solidFill>
              <a:latin typeface="Bamini" panose="00000000000000000000" charset="0"/>
              <a:ea typeface="Bamini" panose="00000000000000000000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2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4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58</xdr:row>
      <xdr:rowOff>0</xdr:rowOff>
    </xdr:from>
    <xdr:to>
      <xdr:col>19</xdr:col>
      <xdr:colOff>8895</xdr:colOff>
      <xdr:row>58</xdr:row>
      <xdr:rowOff>0</xdr:rowOff>
    </xdr:to>
    <xdr:cxnSp macro="">
      <xdr:nvCxnSpPr>
        <xdr:cNvPr id="6" name="line"/>
        <xdr:cNvCxnSpPr/>
      </xdr:nvCxnSpPr>
      <xdr:spPr>
        <a:xfrm>
          <a:off x="6876806" y="99822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58</xdr:row>
      <xdr:rowOff>0</xdr:rowOff>
    </xdr:from>
    <xdr:to>
      <xdr:col>19</xdr:col>
      <xdr:colOff>104270</xdr:colOff>
      <xdr:row>58</xdr:row>
      <xdr:rowOff>0</xdr:rowOff>
    </xdr:to>
    <xdr:cxnSp macro="">
      <xdr:nvCxnSpPr>
        <xdr:cNvPr id="7" name="line"/>
        <xdr:cNvCxnSpPr/>
      </xdr:nvCxnSpPr>
      <xdr:spPr>
        <a:xfrm>
          <a:off x="6971942" y="99822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8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9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0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1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58</xdr:row>
      <xdr:rowOff>0</xdr:rowOff>
    </xdr:from>
    <xdr:to>
      <xdr:col>19</xdr:col>
      <xdr:colOff>8895</xdr:colOff>
      <xdr:row>58</xdr:row>
      <xdr:rowOff>0</xdr:rowOff>
    </xdr:to>
    <xdr:cxnSp macro="">
      <xdr:nvCxnSpPr>
        <xdr:cNvPr id="12" name="line"/>
        <xdr:cNvCxnSpPr/>
      </xdr:nvCxnSpPr>
      <xdr:spPr>
        <a:xfrm>
          <a:off x="6876806" y="99822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58</xdr:row>
      <xdr:rowOff>0</xdr:rowOff>
    </xdr:from>
    <xdr:to>
      <xdr:col>19</xdr:col>
      <xdr:colOff>104270</xdr:colOff>
      <xdr:row>58</xdr:row>
      <xdr:rowOff>0</xdr:rowOff>
    </xdr:to>
    <xdr:cxnSp macro="">
      <xdr:nvCxnSpPr>
        <xdr:cNvPr id="13" name="line"/>
        <xdr:cNvCxnSpPr/>
      </xdr:nvCxnSpPr>
      <xdr:spPr>
        <a:xfrm>
          <a:off x="6971942" y="99822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4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5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6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7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8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19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20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21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22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23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24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25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26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27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28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29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0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1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32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33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4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5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36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37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8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39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40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41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42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43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44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45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46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47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48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49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0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1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52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53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4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5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56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57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8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59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60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61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62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63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64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65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66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67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55</xdr:row>
      <xdr:rowOff>0</xdr:rowOff>
    </xdr:from>
    <xdr:to>
      <xdr:col>19</xdr:col>
      <xdr:colOff>8895</xdr:colOff>
      <xdr:row>55</xdr:row>
      <xdr:rowOff>0</xdr:rowOff>
    </xdr:to>
    <xdr:cxnSp macro="">
      <xdr:nvCxnSpPr>
        <xdr:cNvPr id="68" name="line"/>
        <xdr:cNvCxnSpPr/>
      </xdr:nvCxnSpPr>
      <xdr:spPr>
        <a:xfrm>
          <a:off x="6876806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55</xdr:row>
      <xdr:rowOff>0</xdr:rowOff>
    </xdr:from>
    <xdr:to>
      <xdr:col>19</xdr:col>
      <xdr:colOff>104270</xdr:colOff>
      <xdr:row>55</xdr:row>
      <xdr:rowOff>0</xdr:rowOff>
    </xdr:to>
    <xdr:cxnSp macro="">
      <xdr:nvCxnSpPr>
        <xdr:cNvPr id="69" name="line"/>
        <xdr:cNvCxnSpPr/>
      </xdr:nvCxnSpPr>
      <xdr:spPr>
        <a:xfrm>
          <a:off x="6971942" y="946785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70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5</xdr:col>
      <xdr:colOff>228063</xdr:colOff>
      <xdr:row>17</xdr:row>
      <xdr:rowOff>0</xdr:rowOff>
    </xdr:from>
    <xdr:to>
      <xdr:col>5</xdr:col>
      <xdr:colOff>265948</xdr:colOff>
      <xdr:row>17</xdr:row>
      <xdr:rowOff>0</xdr:rowOff>
    </xdr:to>
    <xdr:cxnSp macro="">
      <xdr:nvCxnSpPr>
        <xdr:cNvPr id="71" name="line"/>
        <xdr:cNvCxnSpPr/>
      </xdr:nvCxnSpPr>
      <xdr:spPr>
        <a:xfrm>
          <a:off x="2590303" y="3028950"/>
          <a:ext cx="38444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8895</xdr:colOff>
      <xdr:row>57</xdr:row>
      <xdr:rowOff>0</xdr:rowOff>
    </xdr:from>
    <xdr:to>
      <xdr:col>19</xdr:col>
      <xdr:colOff>8895</xdr:colOff>
      <xdr:row>57</xdr:row>
      <xdr:rowOff>0</xdr:rowOff>
    </xdr:to>
    <xdr:cxnSp macro="">
      <xdr:nvCxnSpPr>
        <xdr:cNvPr id="72" name="line"/>
        <xdr:cNvCxnSpPr/>
      </xdr:nvCxnSpPr>
      <xdr:spPr>
        <a:xfrm>
          <a:off x="6876806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19</xdr:col>
      <xdr:colOff>104270</xdr:colOff>
      <xdr:row>57</xdr:row>
      <xdr:rowOff>0</xdr:rowOff>
    </xdr:from>
    <xdr:to>
      <xdr:col>19</xdr:col>
      <xdr:colOff>104270</xdr:colOff>
      <xdr:row>57</xdr:row>
      <xdr:rowOff>0</xdr:rowOff>
    </xdr:to>
    <xdr:cxnSp macro="">
      <xdr:nvCxnSpPr>
        <xdr:cNvPr id="73" name="line"/>
        <xdr:cNvCxnSpPr/>
      </xdr:nvCxnSpPr>
      <xdr:spPr>
        <a:xfrm>
          <a:off x="6971942" y="979170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5:G38"/>
  <sheetViews>
    <sheetView workbookViewId="0">
      <selection activeCell="G28" sqref="G28"/>
    </sheetView>
  </sheetViews>
  <sheetFormatPr defaultColWidth="9" defaultRowHeight="15"/>
  <cols>
    <col min="1" max="6" width="10" style="1" customWidth="1"/>
    <col min="7" max="7" width="28.140625" style="1" customWidth="1"/>
    <col min="8" max="256" width="10" style="1" customWidth="1"/>
    <col min="257" max="16384" width="9" style="1"/>
  </cols>
  <sheetData>
    <row r="35" spans="6:7" ht="33.75">
      <c r="F35" s="2" t="s">
        <v>187</v>
      </c>
      <c r="G35" s="2"/>
    </row>
    <row r="36" spans="6:7" ht="33.75">
      <c r="F36" s="2"/>
      <c r="G36" s="2" t="s">
        <v>172</v>
      </c>
    </row>
    <row r="37" spans="6:7" ht="33.75">
      <c r="F37" s="2" t="s">
        <v>159</v>
      </c>
      <c r="G37" s="2" t="s">
        <v>188</v>
      </c>
    </row>
    <row r="38" spans="6:7" ht="33.75">
      <c r="F38" s="2"/>
      <c r="G38" s="2">
        <v>9942421195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107"/>
  <sheetViews>
    <sheetView tabSelected="1" topLeftCell="A76" zoomScale="80" zoomScaleNormal="80" workbookViewId="0">
      <selection activeCell="F18" sqref="F18"/>
    </sheetView>
  </sheetViews>
  <sheetFormatPr defaultColWidth="9" defaultRowHeight="15"/>
  <cols>
    <col min="1" max="1" width="9.140625" style="3" customWidth="1"/>
    <col min="2" max="2" width="34.5703125" style="3" customWidth="1"/>
    <col min="3" max="3" width="4.42578125" style="3" customWidth="1"/>
    <col min="4" max="4" width="17.42578125" style="3" customWidth="1"/>
    <col min="5" max="5" width="6.140625" style="3" customWidth="1"/>
    <col min="6" max="6" width="34.140625" style="3" customWidth="1"/>
    <col min="7" max="7" width="5.42578125" style="3" customWidth="1"/>
    <col min="8" max="8" width="15.140625" style="3" customWidth="1"/>
    <col min="9" max="12" width="9.140625" style="3" customWidth="1"/>
    <col min="13" max="13" width="11.85546875" style="3" customWidth="1"/>
    <col min="14" max="16" width="9.140625" style="3" customWidth="1"/>
    <col min="17" max="17" width="5.42578125" style="3" customWidth="1"/>
    <col min="18" max="257" width="9.140625" style="3" customWidth="1"/>
    <col min="258" max="16384" width="9" style="1"/>
  </cols>
  <sheetData>
    <row r="1" spans="1:22" ht="20.25">
      <c r="A1" s="329" t="s">
        <v>210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1"/>
    </row>
    <row r="2" spans="1:22" ht="30.75" customHeight="1">
      <c r="A2" s="288" t="s">
        <v>59</v>
      </c>
      <c r="B2" s="288"/>
      <c r="C2" s="288"/>
      <c r="D2" s="288"/>
      <c r="E2" s="337" t="s">
        <v>213</v>
      </c>
      <c r="F2" s="338"/>
      <c r="G2" s="338"/>
      <c r="H2" s="338"/>
      <c r="I2" s="338"/>
      <c r="J2" s="339"/>
      <c r="K2" s="4"/>
    </row>
    <row r="3" spans="1:22" ht="35.25" customHeight="1">
      <c r="A3" s="288" t="s">
        <v>58</v>
      </c>
      <c r="B3" s="288"/>
      <c r="C3" s="288"/>
      <c r="D3" s="288"/>
      <c r="E3" s="341" t="s">
        <v>194</v>
      </c>
      <c r="F3" s="335"/>
      <c r="G3" s="335"/>
      <c r="H3" s="335"/>
      <c r="I3" s="335"/>
      <c r="J3" s="335"/>
      <c r="K3" s="4"/>
    </row>
    <row r="4" spans="1:22" ht="30.75" customHeight="1">
      <c r="A4" s="288" t="s">
        <v>57</v>
      </c>
      <c r="B4" s="288"/>
      <c r="C4" s="288"/>
      <c r="D4" s="288"/>
      <c r="E4" s="281">
        <v>28657</v>
      </c>
      <c r="F4" s="282"/>
      <c r="G4" s="282"/>
      <c r="H4" s="282"/>
      <c r="I4" s="282"/>
      <c r="J4" s="282"/>
      <c r="K4" s="5"/>
    </row>
    <row r="5" spans="1:22" ht="35.25" customHeight="1">
      <c r="A5" s="288" t="s">
        <v>56</v>
      </c>
      <c r="B5" s="288"/>
      <c r="C5" s="288"/>
      <c r="D5" s="288"/>
      <c r="E5" s="335" t="s">
        <v>214</v>
      </c>
      <c r="F5" s="335"/>
      <c r="G5" s="335"/>
      <c r="H5" s="335"/>
      <c r="I5" s="335"/>
      <c r="J5" s="335"/>
      <c r="K5" s="4"/>
    </row>
    <row r="6" spans="1:22" ht="34.5" customHeight="1">
      <c r="A6" s="288" t="s">
        <v>55</v>
      </c>
      <c r="B6" s="288"/>
      <c r="C6" s="288"/>
      <c r="D6" s="288"/>
      <c r="E6" s="336" t="s">
        <v>215</v>
      </c>
      <c r="F6" s="336"/>
      <c r="G6" s="336"/>
      <c r="H6" s="336"/>
      <c r="I6" s="336"/>
      <c r="J6" s="336"/>
      <c r="K6" s="6"/>
    </row>
    <row r="7" spans="1:22" ht="32.25" customHeight="1">
      <c r="A7" s="288" t="s">
        <v>54</v>
      </c>
      <c r="B7" s="288"/>
      <c r="C7" s="288"/>
      <c r="D7" s="288"/>
      <c r="E7" s="294" t="s">
        <v>216</v>
      </c>
      <c r="F7" s="294"/>
      <c r="G7" s="294"/>
      <c r="H7" s="294"/>
      <c r="I7" s="294"/>
      <c r="J7" s="294"/>
      <c r="K7" s="4"/>
    </row>
    <row r="8" spans="1:22" ht="28.5" customHeight="1">
      <c r="A8" s="288" t="s">
        <v>53</v>
      </c>
      <c r="B8" s="288"/>
      <c r="C8" s="288"/>
      <c r="D8" s="288"/>
      <c r="E8" s="294" t="s">
        <v>229</v>
      </c>
      <c r="F8" s="294"/>
      <c r="G8" s="294"/>
      <c r="H8" s="294"/>
      <c r="I8" s="294"/>
      <c r="J8" s="294"/>
      <c r="K8" s="4"/>
    </row>
    <row r="9" spans="1:22" ht="34.5" customHeight="1">
      <c r="A9" s="288" t="s">
        <v>52</v>
      </c>
      <c r="B9" s="288"/>
      <c r="C9" s="288"/>
      <c r="D9" s="288"/>
      <c r="E9" s="294" t="s">
        <v>230</v>
      </c>
      <c r="F9" s="294"/>
      <c r="G9" s="294"/>
      <c r="H9" s="294"/>
      <c r="I9" s="294"/>
      <c r="J9" s="294"/>
      <c r="K9" s="4"/>
    </row>
    <row r="11" spans="1:22" ht="22.5">
      <c r="A11" s="333" t="s">
        <v>211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</row>
    <row r="12" spans="1:22" ht="15" customHeight="1">
      <c r="A12" s="312" t="s">
        <v>0</v>
      </c>
      <c r="B12" s="315" t="s">
        <v>1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7"/>
      <c r="N12" s="324" t="s">
        <v>2</v>
      </c>
      <c r="O12" s="325"/>
      <c r="P12" s="325"/>
      <c r="Q12" s="325"/>
      <c r="R12" s="325"/>
      <c r="S12" s="325"/>
      <c r="T12" s="325"/>
      <c r="U12" s="325"/>
      <c r="V12" s="326"/>
    </row>
    <row r="13" spans="1:22" ht="15" customHeight="1">
      <c r="A13" s="313"/>
      <c r="B13" s="318" t="s">
        <v>3</v>
      </c>
      <c r="C13" s="319"/>
      <c r="D13" s="319"/>
      <c r="E13" s="320"/>
      <c r="F13" s="311" t="s">
        <v>4</v>
      </c>
      <c r="G13" s="311" t="s">
        <v>5</v>
      </c>
      <c r="H13" s="311" t="s">
        <v>6</v>
      </c>
      <c r="I13" s="311" t="s">
        <v>7</v>
      </c>
      <c r="J13" s="311" t="s">
        <v>8</v>
      </c>
      <c r="K13" s="311" t="s">
        <v>9</v>
      </c>
      <c r="L13" s="311" t="s">
        <v>10</v>
      </c>
      <c r="M13" s="327" t="s">
        <v>11</v>
      </c>
      <c r="N13" s="342" t="s">
        <v>12</v>
      </c>
      <c r="O13" s="283" t="s">
        <v>13</v>
      </c>
      <c r="P13" s="283" t="s">
        <v>14</v>
      </c>
      <c r="Q13" s="283" t="s">
        <v>15</v>
      </c>
      <c r="R13" s="283" t="s">
        <v>16</v>
      </c>
      <c r="S13" s="283" t="s">
        <v>17</v>
      </c>
      <c r="T13" s="283" t="s">
        <v>18</v>
      </c>
      <c r="U13" s="283" t="s">
        <v>19</v>
      </c>
      <c r="V13" s="283" t="s">
        <v>20</v>
      </c>
    </row>
    <row r="14" spans="1:22" ht="33.75" customHeight="1">
      <c r="A14" s="314"/>
      <c r="B14" s="321"/>
      <c r="C14" s="322"/>
      <c r="D14" s="322"/>
      <c r="E14" s="323"/>
      <c r="F14" s="284"/>
      <c r="G14" s="284"/>
      <c r="H14" s="284"/>
      <c r="I14" s="284"/>
      <c r="J14" s="284"/>
      <c r="K14" s="284"/>
      <c r="L14" s="284"/>
      <c r="M14" s="328"/>
      <c r="N14" s="343"/>
      <c r="O14" s="284"/>
      <c r="P14" s="284"/>
      <c r="Q14" s="284"/>
      <c r="R14" s="284"/>
      <c r="S14" s="284"/>
      <c r="T14" s="284"/>
      <c r="U14" s="284"/>
      <c r="V14" s="284"/>
    </row>
    <row r="15" spans="1:22" ht="24.95" customHeight="1">
      <c r="A15" s="7" t="s">
        <v>217</v>
      </c>
      <c r="B15" s="285">
        <v>54100</v>
      </c>
      <c r="C15" s="286"/>
      <c r="D15" s="286"/>
      <c r="E15" s="287"/>
      <c r="F15" s="8">
        <f>ROUND((B15*0.46),0)</f>
        <v>24886</v>
      </c>
      <c r="G15" s="9">
        <v>0</v>
      </c>
      <c r="H15" s="9">
        <v>4300</v>
      </c>
      <c r="I15" s="9"/>
      <c r="J15" s="9"/>
      <c r="K15" s="9"/>
      <c r="L15" s="9">
        <v>300</v>
      </c>
      <c r="M15" s="10">
        <f>SUM(B15:L15)</f>
        <v>83586</v>
      </c>
      <c r="N15" s="145">
        <f t="shared" ref="N15:N26" si="0">ROUND(((B15+F15)/10),0)</f>
        <v>7899</v>
      </c>
      <c r="O15" s="9"/>
      <c r="P15" s="9">
        <v>110</v>
      </c>
      <c r="Q15" s="9">
        <v>70</v>
      </c>
      <c r="R15" s="9">
        <v>0</v>
      </c>
      <c r="S15" s="9"/>
      <c r="T15" s="11"/>
      <c r="U15" s="12">
        <v>0</v>
      </c>
      <c r="V15" s="12">
        <f>ROUND((U15*0.04),0)</f>
        <v>0</v>
      </c>
    </row>
    <row r="16" spans="1:22" ht="24.95" customHeight="1">
      <c r="A16" s="13" t="s">
        <v>218</v>
      </c>
      <c r="B16" s="285">
        <v>54100</v>
      </c>
      <c r="C16" s="286"/>
      <c r="D16" s="286"/>
      <c r="E16" s="287"/>
      <c r="F16" s="8">
        <f>ROUND((B16*0.5),0)</f>
        <v>27050</v>
      </c>
      <c r="G16" s="9">
        <f t="shared" ref="G16:G26" si="1">+G15</f>
        <v>0</v>
      </c>
      <c r="H16" s="9">
        <v>4300</v>
      </c>
      <c r="I16" s="9">
        <f>+I15</f>
        <v>0</v>
      </c>
      <c r="J16" s="9">
        <f>+J15</f>
        <v>0</v>
      </c>
      <c r="K16" s="9">
        <f>+K15</f>
        <v>0</v>
      </c>
      <c r="L16" s="9">
        <f>+L15</f>
        <v>300</v>
      </c>
      <c r="M16" s="10">
        <f t="shared" ref="M16:M35" si="2">SUM(B16:L16)</f>
        <v>85750</v>
      </c>
      <c r="N16" s="145">
        <f t="shared" si="0"/>
        <v>8115</v>
      </c>
      <c r="O16" s="9"/>
      <c r="P16" s="9">
        <f t="shared" ref="P16:R26" si="3">+P15</f>
        <v>110</v>
      </c>
      <c r="Q16" s="9">
        <f t="shared" si="3"/>
        <v>70</v>
      </c>
      <c r="R16" s="9">
        <f t="shared" si="3"/>
        <v>0</v>
      </c>
      <c r="S16" s="9"/>
      <c r="T16" s="11"/>
      <c r="U16" s="12">
        <v>5227</v>
      </c>
      <c r="V16" s="12">
        <f t="shared" ref="V16:V25" si="4">ROUND((U16*0.04),0)</f>
        <v>209</v>
      </c>
    </row>
    <row r="17" spans="1:22" ht="24.95" customHeight="1">
      <c r="A17" s="14" t="s">
        <v>219</v>
      </c>
      <c r="B17" s="285">
        <v>54100</v>
      </c>
      <c r="C17" s="286"/>
      <c r="D17" s="286"/>
      <c r="E17" s="287"/>
      <c r="F17" s="8">
        <f t="shared" ref="F16:F20" si="5">ROUND((B17*0.5),0)</f>
        <v>27050</v>
      </c>
      <c r="G17" s="9">
        <f t="shared" si="1"/>
        <v>0</v>
      </c>
      <c r="H17" s="9">
        <v>4300</v>
      </c>
      <c r="I17" s="9">
        <f t="shared" ref="I17:L26" si="6">+I16</f>
        <v>0</v>
      </c>
      <c r="J17" s="9">
        <f t="shared" si="6"/>
        <v>0</v>
      </c>
      <c r="K17" s="9">
        <f t="shared" si="6"/>
        <v>0</v>
      </c>
      <c r="L17" s="9">
        <f t="shared" si="6"/>
        <v>300</v>
      </c>
      <c r="M17" s="10">
        <f t="shared" si="2"/>
        <v>85750</v>
      </c>
      <c r="N17" s="145">
        <f t="shared" si="0"/>
        <v>8115</v>
      </c>
      <c r="O17" s="9"/>
      <c r="P17" s="9">
        <f t="shared" si="3"/>
        <v>110</v>
      </c>
      <c r="Q17" s="9">
        <f t="shared" si="3"/>
        <v>70</v>
      </c>
      <c r="R17" s="9">
        <f t="shared" si="3"/>
        <v>0</v>
      </c>
      <c r="S17" s="9"/>
      <c r="T17" s="11"/>
      <c r="U17" s="12">
        <v>5227</v>
      </c>
      <c r="V17" s="12">
        <f t="shared" si="4"/>
        <v>209</v>
      </c>
    </row>
    <row r="18" spans="1:22" ht="24.95" customHeight="1">
      <c r="A18" s="14" t="s">
        <v>220</v>
      </c>
      <c r="B18" s="285">
        <v>54100</v>
      </c>
      <c r="C18" s="286"/>
      <c r="D18" s="286"/>
      <c r="E18" s="287"/>
      <c r="F18" s="8">
        <f t="shared" si="5"/>
        <v>27050</v>
      </c>
      <c r="G18" s="9">
        <f t="shared" si="1"/>
        <v>0</v>
      </c>
      <c r="H18" s="9">
        <v>4300</v>
      </c>
      <c r="I18" s="9">
        <f t="shared" si="6"/>
        <v>0</v>
      </c>
      <c r="J18" s="9">
        <f t="shared" si="6"/>
        <v>0</v>
      </c>
      <c r="K18" s="9">
        <f t="shared" si="6"/>
        <v>0</v>
      </c>
      <c r="L18" s="9">
        <f t="shared" si="6"/>
        <v>300</v>
      </c>
      <c r="M18" s="10">
        <f t="shared" si="2"/>
        <v>85750</v>
      </c>
      <c r="N18" s="145">
        <f t="shared" si="0"/>
        <v>8115</v>
      </c>
      <c r="O18" s="9"/>
      <c r="P18" s="9">
        <f t="shared" si="3"/>
        <v>110</v>
      </c>
      <c r="Q18" s="9">
        <f t="shared" si="3"/>
        <v>70</v>
      </c>
      <c r="R18" s="9">
        <f t="shared" si="3"/>
        <v>0</v>
      </c>
      <c r="S18" s="9"/>
      <c r="T18" s="11"/>
      <c r="U18" s="12">
        <v>5227</v>
      </c>
      <c r="V18" s="12">
        <f t="shared" si="4"/>
        <v>209</v>
      </c>
    </row>
    <row r="19" spans="1:22" ht="24.95" customHeight="1">
      <c r="A19" s="13" t="s">
        <v>221</v>
      </c>
      <c r="B19" s="285">
        <v>54100</v>
      </c>
      <c r="C19" s="286"/>
      <c r="D19" s="286"/>
      <c r="E19" s="287"/>
      <c r="F19" s="8">
        <f t="shared" si="5"/>
        <v>27050</v>
      </c>
      <c r="G19" s="9">
        <f t="shared" si="1"/>
        <v>0</v>
      </c>
      <c r="H19" s="9">
        <v>4300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300</v>
      </c>
      <c r="M19" s="10">
        <f t="shared" si="2"/>
        <v>85750</v>
      </c>
      <c r="N19" s="145">
        <f t="shared" si="0"/>
        <v>8115</v>
      </c>
      <c r="O19" s="9"/>
      <c r="P19" s="9">
        <f t="shared" si="3"/>
        <v>110</v>
      </c>
      <c r="Q19" s="9">
        <f t="shared" si="3"/>
        <v>70</v>
      </c>
      <c r="R19" s="9">
        <f t="shared" si="3"/>
        <v>0</v>
      </c>
      <c r="S19" s="9"/>
      <c r="T19" s="11"/>
      <c r="U19" s="12">
        <v>5227</v>
      </c>
      <c r="V19" s="12">
        <f t="shared" si="4"/>
        <v>209</v>
      </c>
    </row>
    <row r="20" spans="1:22" ht="24.95" customHeight="1">
      <c r="A20" s="14" t="s">
        <v>222</v>
      </c>
      <c r="B20" s="285">
        <v>54100</v>
      </c>
      <c r="C20" s="286"/>
      <c r="D20" s="286"/>
      <c r="E20" s="287"/>
      <c r="F20" s="8">
        <f t="shared" si="5"/>
        <v>27050</v>
      </c>
      <c r="G20" s="9">
        <f t="shared" si="1"/>
        <v>0</v>
      </c>
      <c r="H20" s="9">
        <v>4300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300</v>
      </c>
      <c r="M20" s="10">
        <f t="shared" si="2"/>
        <v>85750</v>
      </c>
      <c r="N20" s="145">
        <f t="shared" si="0"/>
        <v>8115</v>
      </c>
      <c r="O20" s="9"/>
      <c r="P20" s="9">
        <f t="shared" si="3"/>
        <v>110</v>
      </c>
      <c r="Q20" s="9">
        <f t="shared" ref="Q20" si="7">+Q19</f>
        <v>70</v>
      </c>
      <c r="R20" s="9">
        <f t="shared" si="3"/>
        <v>0</v>
      </c>
      <c r="S20" s="9"/>
      <c r="T20" s="15">
        <v>1250</v>
      </c>
      <c r="U20" s="12">
        <v>5227</v>
      </c>
      <c r="V20" s="12">
        <f t="shared" si="4"/>
        <v>209</v>
      </c>
    </row>
    <row r="21" spans="1:22" ht="24.95" customHeight="1">
      <c r="A21" s="14" t="s">
        <v>223</v>
      </c>
      <c r="B21" s="285">
        <v>54100</v>
      </c>
      <c r="C21" s="286"/>
      <c r="D21" s="286"/>
      <c r="E21" s="287"/>
      <c r="F21" s="8">
        <f>ROUND((B21*0.5),0)</f>
        <v>27050</v>
      </c>
      <c r="G21" s="9">
        <f t="shared" si="1"/>
        <v>0</v>
      </c>
      <c r="H21" s="9">
        <v>4300</v>
      </c>
      <c r="I21" s="9">
        <f t="shared" si="6"/>
        <v>0</v>
      </c>
      <c r="J21" s="9">
        <f t="shared" si="6"/>
        <v>0</v>
      </c>
      <c r="K21" s="9">
        <f t="shared" si="6"/>
        <v>0</v>
      </c>
      <c r="L21" s="9">
        <f t="shared" si="6"/>
        <v>300</v>
      </c>
      <c r="M21" s="10">
        <f t="shared" si="2"/>
        <v>85750</v>
      </c>
      <c r="N21" s="145">
        <f t="shared" si="0"/>
        <v>8115</v>
      </c>
      <c r="O21" s="9"/>
      <c r="P21" s="9">
        <f t="shared" si="3"/>
        <v>110</v>
      </c>
      <c r="Q21" s="9">
        <f t="shared" ref="Q21" si="8">+Q20</f>
        <v>70</v>
      </c>
      <c r="R21" s="9">
        <f t="shared" si="3"/>
        <v>0</v>
      </c>
      <c r="S21" s="9"/>
      <c r="T21" s="11"/>
      <c r="U21" s="12">
        <v>5227</v>
      </c>
      <c r="V21" s="12">
        <f t="shared" si="4"/>
        <v>209</v>
      </c>
    </row>
    <row r="22" spans="1:22" ht="24.95" customHeight="1">
      <c r="A22" s="14" t="s">
        <v>224</v>
      </c>
      <c r="B22" s="285">
        <v>54100</v>
      </c>
      <c r="C22" s="286"/>
      <c r="D22" s="286"/>
      <c r="E22" s="287"/>
      <c r="F22" s="8">
        <f>ROUND((B22*0.53),0)</f>
        <v>28673</v>
      </c>
      <c r="G22" s="9">
        <f t="shared" si="1"/>
        <v>0</v>
      </c>
      <c r="H22" s="9">
        <v>4300</v>
      </c>
      <c r="I22" s="9">
        <f t="shared" si="6"/>
        <v>0</v>
      </c>
      <c r="J22" s="9">
        <f t="shared" si="6"/>
        <v>0</v>
      </c>
      <c r="K22" s="9">
        <f t="shared" si="6"/>
        <v>0</v>
      </c>
      <c r="L22" s="9">
        <f t="shared" si="6"/>
        <v>300</v>
      </c>
      <c r="M22" s="10">
        <f t="shared" si="2"/>
        <v>87373</v>
      </c>
      <c r="N22" s="145">
        <f t="shared" si="0"/>
        <v>8277</v>
      </c>
      <c r="O22" s="9"/>
      <c r="P22" s="9">
        <f t="shared" si="3"/>
        <v>110</v>
      </c>
      <c r="Q22" s="9">
        <f t="shared" ref="Q22" si="9">+Q21</f>
        <v>70</v>
      </c>
      <c r="R22" s="9">
        <f t="shared" si="3"/>
        <v>0</v>
      </c>
      <c r="S22" s="9"/>
      <c r="T22" s="11"/>
      <c r="U22" s="12">
        <v>5617</v>
      </c>
      <c r="V22" s="12">
        <f t="shared" si="4"/>
        <v>225</v>
      </c>
    </row>
    <row r="23" spans="1:22" ht="24.95" customHeight="1">
      <c r="A23" s="14" t="s">
        <v>225</v>
      </c>
      <c r="B23" s="285">
        <v>54100</v>
      </c>
      <c r="C23" s="286"/>
      <c r="D23" s="286"/>
      <c r="E23" s="287"/>
      <c r="F23" s="8">
        <f t="shared" ref="F23:F26" si="10">ROUND((B23*0.53),0)</f>
        <v>28673</v>
      </c>
      <c r="G23" s="9">
        <f t="shared" si="1"/>
        <v>0</v>
      </c>
      <c r="H23" s="9">
        <v>4300</v>
      </c>
      <c r="I23" s="9">
        <f t="shared" si="6"/>
        <v>0</v>
      </c>
      <c r="J23" s="9">
        <f t="shared" si="6"/>
        <v>0</v>
      </c>
      <c r="K23" s="9">
        <f t="shared" si="6"/>
        <v>0</v>
      </c>
      <c r="L23" s="9">
        <v>300</v>
      </c>
      <c r="M23" s="10">
        <f t="shared" si="2"/>
        <v>87373</v>
      </c>
      <c r="N23" s="145">
        <f t="shared" si="0"/>
        <v>8277</v>
      </c>
      <c r="O23" s="9"/>
      <c r="P23" s="9">
        <f t="shared" si="3"/>
        <v>110</v>
      </c>
      <c r="Q23" s="9">
        <f t="shared" ref="Q23" si="11">+Q22</f>
        <v>70</v>
      </c>
      <c r="R23" s="9">
        <f t="shared" si="3"/>
        <v>0</v>
      </c>
      <c r="S23" s="9"/>
      <c r="T23" s="11"/>
      <c r="U23" s="12">
        <v>5617</v>
      </c>
      <c r="V23" s="12">
        <f t="shared" si="4"/>
        <v>225</v>
      </c>
    </row>
    <row r="24" spans="1:22" ht="24.95" customHeight="1">
      <c r="A24" s="14" t="s">
        <v>226</v>
      </c>
      <c r="B24" s="285">
        <v>54100</v>
      </c>
      <c r="C24" s="286"/>
      <c r="D24" s="286"/>
      <c r="E24" s="287"/>
      <c r="F24" s="8">
        <f t="shared" si="10"/>
        <v>28673</v>
      </c>
      <c r="G24" s="9">
        <f t="shared" si="1"/>
        <v>0</v>
      </c>
      <c r="H24" s="9">
        <v>4300</v>
      </c>
      <c r="I24" s="9">
        <f t="shared" si="6"/>
        <v>0</v>
      </c>
      <c r="J24" s="9">
        <f t="shared" si="6"/>
        <v>0</v>
      </c>
      <c r="K24" s="9">
        <f t="shared" si="6"/>
        <v>0</v>
      </c>
      <c r="L24" s="9">
        <f t="shared" si="6"/>
        <v>300</v>
      </c>
      <c r="M24" s="10">
        <f t="shared" si="2"/>
        <v>87373</v>
      </c>
      <c r="N24" s="145">
        <f t="shared" si="0"/>
        <v>8277</v>
      </c>
      <c r="O24" s="9"/>
      <c r="P24" s="9">
        <f t="shared" si="3"/>
        <v>110</v>
      </c>
      <c r="Q24" s="9">
        <f t="shared" ref="Q24" si="12">+Q23</f>
        <v>70</v>
      </c>
      <c r="R24" s="9">
        <f t="shared" si="3"/>
        <v>0</v>
      </c>
      <c r="S24" s="9"/>
      <c r="T24" s="11"/>
      <c r="U24" s="12">
        <v>1511</v>
      </c>
      <c r="V24" s="12">
        <f t="shared" si="4"/>
        <v>60</v>
      </c>
    </row>
    <row r="25" spans="1:22" ht="24.95" customHeight="1">
      <c r="A25" s="14" t="s">
        <v>227</v>
      </c>
      <c r="B25" s="285">
        <v>55600</v>
      </c>
      <c r="C25" s="286"/>
      <c r="D25" s="286"/>
      <c r="E25" s="287"/>
      <c r="F25" s="8">
        <f t="shared" si="10"/>
        <v>29468</v>
      </c>
      <c r="G25" s="9">
        <f t="shared" si="1"/>
        <v>0</v>
      </c>
      <c r="H25" s="9">
        <v>4300</v>
      </c>
      <c r="I25" s="9">
        <f t="shared" si="6"/>
        <v>0</v>
      </c>
      <c r="J25" s="9">
        <f t="shared" si="6"/>
        <v>0</v>
      </c>
      <c r="K25" s="9">
        <f t="shared" si="6"/>
        <v>0</v>
      </c>
      <c r="L25" s="9">
        <f t="shared" si="6"/>
        <v>300</v>
      </c>
      <c r="M25" s="10">
        <f t="shared" si="2"/>
        <v>89668</v>
      </c>
      <c r="N25" s="145">
        <f t="shared" si="0"/>
        <v>8507</v>
      </c>
      <c r="O25" s="9"/>
      <c r="P25" s="9">
        <f t="shared" si="3"/>
        <v>110</v>
      </c>
      <c r="Q25" s="9">
        <f t="shared" si="3"/>
        <v>70</v>
      </c>
      <c r="R25" s="9">
        <f t="shared" si="3"/>
        <v>0</v>
      </c>
      <c r="S25" s="9"/>
      <c r="T25" s="15">
        <v>1250</v>
      </c>
      <c r="U25" s="12"/>
      <c r="V25" s="12">
        <f t="shared" si="4"/>
        <v>0</v>
      </c>
    </row>
    <row r="26" spans="1:22" ht="24.95" customHeight="1">
      <c r="A26" s="13" t="s">
        <v>228</v>
      </c>
      <c r="B26" s="285">
        <v>55600</v>
      </c>
      <c r="C26" s="286"/>
      <c r="D26" s="286"/>
      <c r="E26" s="287"/>
      <c r="F26" s="8">
        <f t="shared" si="10"/>
        <v>29468</v>
      </c>
      <c r="G26" s="9">
        <f t="shared" si="1"/>
        <v>0</v>
      </c>
      <c r="H26" s="9">
        <v>4300</v>
      </c>
      <c r="I26" s="9">
        <f t="shared" si="6"/>
        <v>0</v>
      </c>
      <c r="J26" s="9">
        <f t="shared" si="6"/>
        <v>0</v>
      </c>
      <c r="K26" s="9">
        <f t="shared" si="6"/>
        <v>0</v>
      </c>
      <c r="L26" s="9">
        <f t="shared" si="6"/>
        <v>300</v>
      </c>
      <c r="M26" s="10">
        <f t="shared" si="2"/>
        <v>89668</v>
      </c>
      <c r="N26" s="145">
        <f t="shared" si="0"/>
        <v>8507</v>
      </c>
      <c r="O26" s="9"/>
      <c r="P26" s="9">
        <f t="shared" si="3"/>
        <v>110</v>
      </c>
      <c r="Q26" s="9">
        <f t="shared" si="3"/>
        <v>70</v>
      </c>
      <c r="R26" s="9">
        <f t="shared" si="3"/>
        <v>0</v>
      </c>
      <c r="S26" s="9"/>
      <c r="T26" s="11"/>
      <c r="U26" s="12"/>
      <c r="V26" s="12">
        <f t="shared" ref="V26" si="13">ROUND((U26*0.04),0)</f>
        <v>0</v>
      </c>
    </row>
    <row r="27" spans="1:22" ht="24.95" customHeight="1">
      <c r="A27" s="16" t="s">
        <v>21</v>
      </c>
      <c r="B27" s="285"/>
      <c r="C27" s="286"/>
      <c r="D27" s="286"/>
      <c r="E27" s="287"/>
      <c r="F27" s="17">
        <v>4869</v>
      </c>
      <c r="G27" s="18"/>
      <c r="H27" s="18"/>
      <c r="I27" s="18"/>
      <c r="J27" s="18"/>
      <c r="K27" s="18"/>
      <c r="L27" s="18"/>
      <c r="M27" s="10">
        <f t="shared" si="2"/>
        <v>4869</v>
      </c>
      <c r="N27" s="12">
        <v>486</v>
      </c>
      <c r="O27" s="17"/>
      <c r="P27" s="17"/>
      <c r="Q27" s="17"/>
      <c r="R27" s="17"/>
      <c r="S27" s="19"/>
      <c r="T27" s="17"/>
      <c r="U27" s="12"/>
      <c r="V27" s="12"/>
    </row>
    <row r="28" spans="1:22" ht="24.95" customHeight="1">
      <c r="A28" s="16" t="s">
        <v>21</v>
      </c>
      <c r="B28" s="285"/>
      <c r="C28" s="286"/>
      <c r="D28" s="286"/>
      <c r="E28" s="287"/>
      <c r="F28" s="17"/>
      <c r="G28" s="18"/>
      <c r="H28" s="18"/>
      <c r="I28" s="18"/>
      <c r="J28" s="18"/>
      <c r="K28" s="18"/>
      <c r="L28" s="18"/>
      <c r="M28" s="10">
        <f t="shared" si="2"/>
        <v>0</v>
      </c>
      <c r="N28" s="12"/>
      <c r="O28" s="17"/>
      <c r="P28" s="17"/>
      <c r="Q28" s="17"/>
      <c r="R28" s="17"/>
      <c r="S28" s="17"/>
      <c r="T28" s="17"/>
      <c r="U28" s="12"/>
      <c r="V28" s="12"/>
    </row>
    <row r="29" spans="1:22" ht="24.95" customHeight="1">
      <c r="A29" s="16" t="s">
        <v>22</v>
      </c>
      <c r="B29" s="285"/>
      <c r="C29" s="286"/>
      <c r="D29" s="286"/>
      <c r="E29" s="287"/>
      <c r="F29" s="9"/>
      <c r="G29" s="9"/>
      <c r="H29" s="9"/>
      <c r="I29" s="9">
        <f t="shared" ref="I29:J29" si="14">ROUND((I20/2),0)</f>
        <v>0</v>
      </c>
      <c r="J29" s="9">
        <f t="shared" si="14"/>
        <v>0</v>
      </c>
      <c r="K29" s="9"/>
      <c r="L29" s="9"/>
      <c r="M29" s="10">
        <f t="shared" si="2"/>
        <v>0</v>
      </c>
      <c r="N29" s="12"/>
      <c r="O29" s="17"/>
      <c r="P29" s="17"/>
      <c r="Q29" s="17"/>
      <c r="R29" s="17"/>
      <c r="S29" s="17"/>
      <c r="T29" s="17"/>
      <c r="U29" s="12"/>
      <c r="V29" s="12"/>
    </row>
    <row r="30" spans="1:22" ht="24.95" customHeight="1">
      <c r="A30" s="16" t="s">
        <v>23</v>
      </c>
      <c r="B30" s="285"/>
      <c r="C30" s="286"/>
      <c r="D30" s="286"/>
      <c r="E30" s="287"/>
      <c r="F30" s="9"/>
      <c r="G30" s="9">
        <f t="shared" ref="G30:L30" si="15">G23-G22</f>
        <v>0</v>
      </c>
      <c r="H30" s="9"/>
      <c r="I30" s="9">
        <f t="shared" si="15"/>
        <v>0</v>
      </c>
      <c r="J30" s="9">
        <f t="shared" si="15"/>
        <v>0</v>
      </c>
      <c r="K30" s="9"/>
      <c r="L30" s="9">
        <f t="shared" si="15"/>
        <v>0</v>
      </c>
      <c r="M30" s="10">
        <f t="shared" si="2"/>
        <v>0</v>
      </c>
      <c r="N30" s="9"/>
      <c r="O30" s="17"/>
      <c r="P30" s="17"/>
      <c r="Q30" s="17"/>
      <c r="R30" s="17"/>
      <c r="S30" s="17"/>
      <c r="T30" s="17"/>
      <c r="U30" s="12"/>
      <c r="V30" s="12"/>
    </row>
    <row r="31" spans="1:22" ht="24.95" customHeight="1">
      <c r="A31" s="16" t="s">
        <v>24</v>
      </c>
      <c r="B31" s="285"/>
      <c r="C31" s="286"/>
      <c r="D31" s="286"/>
      <c r="E31" s="287"/>
      <c r="F31" s="9"/>
      <c r="G31" s="9"/>
      <c r="H31" s="9"/>
      <c r="I31" s="9"/>
      <c r="J31" s="9"/>
      <c r="K31" s="9"/>
      <c r="L31" s="9"/>
      <c r="M31" s="10">
        <f t="shared" si="2"/>
        <v>0</v>
      </c>
      <c r="N31" s="12"/>
      <c r="O31" s="17"/>
      <c r="P31" s="17"/>
      <c r="Q31" s="17"/>
      <c r="R31" s="17"/>
      <c r="S31" s="17"/>
      <c r="T31" s="17"/>
      <c r="U31" s="12"/>
      <c r="V31" s="12"/>
    </row>
    <row r="32" spans="1:22" ht="24.95" customHeight="1">
      <c r="A32" s="16" t="s">
        <v>24</v>
      </c>
      <c r="B32" s="285"/>
      <c r="C32" s="286"/>
      <c r="D32" s="286"/>
      <c r="E32" s="287"/>
      <c r="F32" s="9"/>
      <c r="G32" s="9"/>
      <c r="H32" s="9"/>
      <c r="I32" s="9"/>
      <c r="J32" s="9"/>
      <c r="K32" s="9"/>
      <c r="L32" s="9"/>
      <c r="M32" s="10">
        <f t="shared" si="2"/>
        <v>0</v>
      </c>
      <c r="N32" s="12"/>
      <c r="O32" s="17"/>
      <c r="P32" s="17"/>
      <c r="Q32" s="17"/>
      <c r="R32" s="17"/>
      <c r="S32" s="17"/>
      <c r="T32" s="17"/>
      <c r="U32" s="12"/>
      <c r="V32" s="12"/>
    </row>
    <row r="33" spans="1:22" ht="24.95" customHeight="1">
      <c r="A33" s="16" t="s">
        <v>24</v>
      </c>
      <c r="B33" s="285"/>
      <c r="C33" s="286"/>
      <c r="D33" s="286"/>
      <c r="E33" s="287"/>
      <c r="F33" s="9"/>
      <c r="G33" s="9"/>
      <c r="H33" s="9"/>
      <c r="I33" s="9"/>
      <c r="J33" s="9"/>
      <c r="K33" s="9"/>
      <c r="L33" s="9"/>
      <c r="M33" s="10">
        <f t="shared" si="2"/>
        <v>0</v>
      </c>
      <c r="N33" s="12"/>
      <c r="O33" s="17"/>
      <c r="P33" s="17"/>
      <c r="Q33" s="17"/>
      <c r="R33" s="17"/>
      <c r="S33" s="17"/>
      <c r="T33" s="17"/>
      <c r="U33" s="12"/>
      <c r="V33" s="12"/>
    </row>
    <row r="34" spans="1:22" ht="24.95" customHeight="1">
      <c r="A34" s="16" t="s">
        <v>25</v>
      </c>
      <c r="B34" s="285"/>
      <c r="C34" s="286"/>
      <c r="D34" s="286"/>
      <c r="E34" s="287"/>
      <c r="F34" s="18"/>
      <c r="G34" s="18"/>
      <c r="H34" s="18"/>
      <c r="I34" s="18"/>
      <c r="J34" s="18"/>
      <c r="K34" s="18"/>
      <c r="L34" s="18"/>
      <c r="M34" s="10">
        <f t="shared" si="2"/>
        <v>0</v>
      </c>
      <c r="N34" s="12"/>
      <c r="O34" s="17"/>
      <c r="P34" s="17"/>
      <c r="Q34" s="17"/>
      <c r="R34" s="17"/>
      <c r="S34" s="17"/>
      <c r="T34" s="17"/>
      <c r="U34" s="12"/>
      <c r="V34" s="12"/>
    </row>
    <row r="35" spans="1:22" ht="24.95" customHeight="1">
      <c r="A35" s="16"/>
      <c r="B35" s="285"/>
      <c r="C35" s="286"/>
      <c r="D35" s="286"/>
      <c r="E35" s="287"/>
      <c r="F35" s="9"/>
      <c r="G35" s="9"/>
      <c r="H35" s="9"/>
      <c r="I35" s="9"/>
      <c r="J35" s="9"/>
      <c r="K35" s="9"/>
      <c r="L35" s="9"/>
      <c r="M35" s="10">
        <f t="shared" si="2"/>
        <v>0</v>
      </c>
      <c r="N35" s="12"/>
      <c r="O35" s="17"/>
      <c r="P35" s="17"/>
      <c r="Q35" s="17"/>
      <c r="R35" s="17"/>
      <c r="S35" s="17"/>
      <c r="T35" s="17"/>
      <c r="U35" s="12"/>
      <c r="V35" s="12"/>
    </row>
    <row r="36" spans="1:22" ht="24.95" customHeight="1">
      <c r="A36" s="16" t="s">
        <v>60</v>
      </c>
      <c r="B36" s="285">
        <f>SUM(B15:B35)</f>
        <v>652200</v>
      </c>
      <c r="C36" s="286"/>
      <c r="D36" s="286"/>
      <c r="E36" s="287"/>
      <c r="F36" s="9">
        <f t="shared" ref="F36:V36" si="16">SUM(F15:F35)</f>
        <v>337010</v>
      </c>
      <c r="G36" s="9">
        <f t="shared" si="16"/>
        <v>0</v>
      </c>
      <c r="H36" s="9">
        <f t="shared" si="16"/>
        <v>51600</v>
      </c>
      <c r="I36" s="9">
        <f t="shared" si="16"/>
        <v>0</v>
      </c>
      <c r="J36" s="9">
        <f t="shared" si="16"/>
        <v>0</v>
      </c>
      <c r="K36" s="9">
        <f t="shared" si="16"/>
        <v>0</v>
      </c>
      <c r="L36" s="9">
        <f t="shared" si="16"/>
        <v>3600</v>
      </c>
      <c r="M36" s="10">
        <f>SUM(M15:M35)</f>
        <v>1044410</v>
      </c>
      <c r="N36" s="10">
        <f t="shared" si="16"/>
        <v>98920</v>
      </c>
      <c r="O36" s="10">
        <f t="shared" si="16"/>
        <v>0</v>
      </c>
      <c r="P36" s="10">
        <f t="shared" si="16"/>
        <v>1320</v>
      </c>
      <c r="Q36" s="10">
        <f t="shared" si="16"/>
        <v>840</v>
      </c>
      <c r="R36" s="10">
        <f t="shared" si="16"/>
        <v>0</v>
      </c>
      <c r="S36" s="10">
        <f t="shared" si="16"/>
        <v>0</v>
      </c>
      <c r="T36" s="10">
        <f t="shared" si="16"/>
        <v>2500</v>
      </c>
      <c r="U36" s="10">
        <f t="shared" si="16"/>
        <v>44107</v>
      </c>
      <c r="V36" s="10">
        <f t="shared" si="16"/>
        <v>1764</v>
      </c>
    </row>
    <row r="38" spans="1:22" ht="18">
      <c r="A38" s="295" t="s">
        <v>26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7"/>
    </row>
    <row r="39" spans="1:22" ht="33" customHeight="1">
      <c r="A39" s="304" t="s">
        <v>27</v>
      </c>
      <c r="B39" s="299"/>
      <c r="C39" s="299"/>
      <c r="D39" s="299"/>
      <c r="E39" s="300"/>
      <c r="F39" s="298" t="s">
        <v>28</v>
      </c>
      <c r="G39" s="299"/>
      <c r="H39" s="300"/>
      <c r="I39" s="309" t="s">
        <v>29</v>
      </c>
      <c r="J39" s="310"/>
      <c r="K39" s="310"/>
      <c r="L39" s="310"/>
      <c r="M39" s="20"/>
      <c r="N39" s="21" t="s">
        <v>30</v>
      </c>
      <c r="O39" s="298" t="s">
        <v>31</v>
      </c>
      <c r="P39" s="299"/>
      <c r="Q39" s="299"/>
      <c r="R39" s="299"/>
      <c r="S39" s="299"/>
      <c r="T39" s="299"/>
      <c r="U39" s="300"/>
    </row>
    <row r="40" spans="1:22" ht="24.95" customHeight="1">
      <c r="A40" s="22">
        <v>1</v>
      </c>
      <c r="B40" s="302">
        <v>747491366</v>
      </c>
      <c r="C40" s="292"/>
      <c r="D40" s="292"/>
      <c r="E40" s="293"/>
      <c r="F40" s="289"/>
      <c r="G40" s="290"/>
      <c r="H40" s="291"/>
      <c r="I40" s="261">
        <v>2459</v>
      </c>
      <c r="J40" s="262"/>
      <c r="K40" s="262"/>
      <c r="L40" s="262"/>
      <c r="M40" s="23" t="s">
        <v>32</v>
      </c>
      <c r="N40" s="24">
        <v>12</v>
      </c>
      <c r="O40" s="289">
        <f>I40*N40</f>
        <v>29508</v>
      </c>
      <c r="P40" s="290"/>
      <c r="Q40" s="290"/>
      <c r="R40" s="290"/>
      <c r="S40" s="290"/>
      <c r="T40" s="290"/>
      <c r="U40" s="291"/>
    </row>
    <row r="41" spans="1:22" ht="24.95" customHeight="1">
      <c r="A41" s="22">
        <v>2</v>
      </c>
      <c r="B41" s="302"/>
      <c r="C41" s="292"/>
      <c r="D41" s="292"/>
      <c r="E41" s="293"/>
      <c r="F41" s="289"/>
      <c r="G41" s="290"/>
      <c r="H41" s="291"/>
      <c r="I41" s="261">
        <v>3301</v>
      </c>
      <c r="J41" s="262"/>
      <c r="K41" s="262"/>
      <c r="L41" s="262"/>
      <c r="M41" s="23" t="s">
        <v>33</v>
      </c>
      <c r="N41" s="24">
        <v>3</v>
      </c>
      <c r="O41" s="289">
        <f t="shared" ref="O41:O45" si="17">I41*N41</f>
        <v>9903</v>
      </c>
      <c r="P41" s="290"/>
      <c r="Q41" s="290"/>
      <c r="R41" s="290"/>
      <c r="S41" s="290"/>
      <c r="T41" s="290"/>
      <c r="U41" s="291"/>
    </row>
    <row r="42" spans="1:22" ht="24.95" customHeight="1">
      <c r="A42" s="22">
        <v>3</v>
      </c>
      <c r="B42" s="292"/>
      <c r="C42" s="292"/>
      <c r="D42" s="292"/>
      <c r="E42" s="293"/>
      <c r="F42" s="289"/>
      <c r="G42" s="290"/>
      <c r="H42" s="291"/>
      <c r="I42" s="261">
        <v>1659</v>
      </c>
      <c r="J42" s="262"/>
      <c r="K42" s="262"/>
      <c r="L42" s="262"/>
      <c r="M42" s="23" t="s">
        <v>32</v>
      </c>
      <c r="N42" s="24">
        <v>12</v>
      </c>
      <c r="O42" s="289">
        <f t="shared" si="17"/>
        <v>19908</v>
      </c>
      <c r="P42" s="290"/>
      <c r="Q42" s="290"/>
      <c r="R42" s="290"/>
      <c r="S42" s="290"/>
      <c r="T42" s="290"/>
      <c r="U42" s="291"/>
    </row>
    <row r="43" spans="1:22" ht="24.95" customHeight="1">
      <c r="A43" s="22">
        <v>4</v>
      </c>
      <c r="B43" s="292"/>
      <c r="C43" s="292"/>
      <c r="D43" s="292"/>
      <c r="E43" s="293"/>
      <c r="F43" s="289"/>
      <c r="G43" s="290"/>
      <c r="H43" s="291"/>
      <c r="I43" s="261"/>
      <c r="J43" s="262"/>
      <c r="K43" s="262"/>
      <c r="L43" s="262"/>
      <c r="M43" s="23" t="s">
        <v>32</v>
      </c>
      <c r="N43" s="24"/>
      <c r="O43" s="289">
        <f t="shared" si="17"/>
        <v>0</v>
      </c>
      <c r="P43" s="290"/>
      <c r="Q43" s="290"/>
      <c r="R43" s="290"/>
      <c r="S43" s="290"/>
      <c r="T43" s="290"/>
      <c r="U43" s="291"/>
    </row>
    <row r="44" spans="1:22" ht="24.95" customHeight="1">
      <c r="A44" s="22">
        <v>5</v>
      </c>
      <c r="B44" s="292"/>
      <c r="C44" s="292"/>
      <c r="D44" s="292"/>
      <c r="E44" s="293"/>
      <c r="F44" s="289"/>
      <c r="G44" s="290"/>
      <c r="H44" s="291"/>
      <c r="I44" s="261"/>
      <c r="J44" s="262"/>
      <c r="K44" s="262"/>
      <c r="L44" s="262"/>
      <c r="M44" s="23" t="s">
        <v>32</v>
      </c>
      <c r="N44" s="24"/>
      <c r="O44" s="289">
        <f t="shared" si="17"/>
        <v>0</v>
      </c>
      <c r="P44" s="290"/>
      <c r="Q44" s="290"/>
      <c r="R44" s="290"/>
      <c r="S44" s="290"/>
      <c r="T44" s="290"/>
      <c r="U44" s="291"/>
    </row>
    <row r="45" spans="1:22" ht="24.95" customHeight="1">
      <c r="A45" s="22">
        <v>6</v>
      </c>
      <c r="B45" s="292"/>
      <c r="C45" s="292"/>
      <c r="D45" s="292"/>
      <c r="E45" s="293"/>
      <c r="F45" s="289"/>
      <c r="G45" s="290"/>
      <c r="H45" s="291"/>
      <c r="I45" s="261"/>
      <c r="J45" s="262"/>
      <c r="K45" s="262"/>
      <c r="L45" s="262"/>
      <c r="M45" s="23" t="s">
        <v>32</v>
      </c>
      <c r="N45" s="24"/>
      <c r="O45" s="289">
        <f t="shared" si="17"/>
        <v>0</v>
      </c>
      <c r="P45" s="290"/>
      <c r="Q45" s="290"/>
      <c r="R45" s="290"/>
      <c r="S45" s="290"/>
      <c r="T45" s="290"/>
      <c r="U45" s="291"/>
    </row>
    <row r="46" spans="1:22" ht="24.95" customHeight="1">
      <c r="A46" s="22">
        <v>7</v>
      </c>
      <c r="B46" s="292"/>
      <c r="C46" s="292"/>
      <c r="D46" s="292"/>
      <c r="E46" s="293"/>
      <c r="F46" s="289"/>
      <c r="G46" s="290"/>
      <c r="H46" s="291"/>
      <c r="I46" s="261"/>
      <c r="J46" s="262"/>
      <c r="K46" s="262"/>
      <c r="L46" s="262"/>
      <c r="M46" s="289" t="s">
        <v>60</v>
      </c>
      <c r="N46" s="291"/>
      <c r="O46" s="289">
        <f>SUM(O40:O45)</f>
        <v>59319</v>
      </c>
      <c r="P46" s="290"/>
      <c r="Q46" s="290"/>
      <c r="R46" s="290"/>
      <c r="S46" s="290"/>
      <c r="T46" s="290"/>
      <c r="U46" s="291"/>
    </row>
    <row r="47" spans="1:22" s="25" customFormat="1">
      <c r="A47" s="26"/>
      <c r="B47" s="27"/>
      <c r="C47" s="27"/>
      <c r="D47" s="27"/>
      <c r="E47" s="27"/>
      <c r="F47" s="28"/>
      <c r="G47" s="28"/>
      <c r="H47" s="28"/>
      <c r="I47" s="29"/>
      <c r="J47" s="29"/>
      <c r="K47" s="29"/>
      <c r="L47" s="29"/>
      <c r="M47" s="28"/>
      <c r="N47" s="27"/>
      <c r="O47" s="28"/>
      <c r="P47" s="28"/>
      <c r="Q47" s="28"/>
      <c r="R47" s="28"/>
      <c r="S47" s="28"/>
      <c r="T47" s="28"/>
      <c r="U47" s="30"/>
    </row>
    <row r="48" spans="1:22" ht="18">
      <c r="A48" s="295" t="s">
        <v>34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7"/>
    </row>
    <row r="49" spans="1:21" ht="26.25" customHeight="1">
      <c r="A49" s="304" t="s">
        <v>35</v>
      </c>
      <c r="B49" s="299"/>
      <c r="C49" s="299"/>
      <c r="D49" s="299"/>
      <c r="E49" s="299"/>
      <c r="F49" s="300"/>
      <c r="G49" s="298" t="s">
        <v>36</v>
      </c>
      <c r="H49" s="299"/>
      <c r="I49" s="299"/>
      <c r="J49" s="299"/>
      <c r="K49" s="299"/>
      <c r="L49" s="299"/>
      <c r="M49" s="299"/>
      <c r="N49" s="300"/>
      <c r="O49" s="298" t="s">
        <v>37</v>
      </c>
      <c r="P49" s="299"/>
      <c r="Q49" s="299"/>
      <c r="R49" s="300"/>
      <c r="S49" s="298" t="s">
        <v>38</v>
      </c>
      <c r="T49" s="299"/>
      <c r="U49" s="300"/>
    </row>
    <row r="50" spans="1:21" ht="27" customHeight="1">
      <c r="A50" s="301"/>
      <c r="B50" s="290"/>
      <c r="C50" s="290"/>
      <c r="D50" s="290"/>
      <c r="E50" s="290"/>
      <c r="F50" s="291"/>
      <c r="G50" s="289"/>
      <c r="H50" s="290"/>
      <c r="I50" s="290"/>
      <c r="J50" s="290"/>
      <c r="K50" s="290"/>
      <c r="L50" s="290"/>
      <c r="M50" s="290"/>
      <c r="N50" s="291"/>
      <c r="O50" s="289"/>
      <c r="P50" s="290"/>
      <c r="Q50" s="290"/>
      <c r="R50" s="291"/>
      <c r="S50" s="289"/>
      <c r="T50" s="290"/>
      <c r="U50" s="291"/>
    </row>
    <row r="52" spans="1:21" ht="31.5" customHeight="1">
      <c r="A52" s="279" t="s">
        <v>193</v>
      </c>
      <c r="B52" s="280"/>
      <c r="C52" s="280"/>
      <c r="D52" s="280"/>
      <c r="E52" s="280"/>
      <c r="F52" s="280"/>
      <c r="G52" s="31" t="s">
        <v>39</v>
      </c>
      <c r="H52" s="267"/>
      <c r="I52" s="268"/>
      <c r="J52" s="269"/>
      <c r="K52" s="32"/>
    </row>
    <row r="54" spans="1:21" ht="31.5" customHeight="1">
      <c r="A54" s="280" t="s">
        <v>40</v>
      </c>
      <c r="B54" s="280"/>
      <c r="C54" s="280"/>
      <c r="D54" s="280"/>
      <c r="E54" s="280"/>
      <c r="F54" s="280"/>
      <c r="G54" s="31" t="s">
        <v>39</v>
      </c>
      <c r="H54" s="267">
        <v>200000</v>
      </c>
      <c r="I54" s="268"/>
      <c r="J54" s="269"/>
      <c r="K54" s="32"/>
    </row>
    <row r="55" spans="1:21">
      <c r="A55" s="33"/>
      <c r="B55" s="33"/>
      <c r="C55" s="33"/>
      <c r="D55" s="33"/>
      <c r="E55" s="33"/>
      <c r="F55" s="33"/>
      <c r="G55" s="34"/>
    </row>
    <row r="56" spans="1:21" ht="20.25" customHeight="1">
      <c r="A56" s="35" t="s">
        <v>41</v>
      </c>
      <c r="B56" s="36"/>
      <c r="C56" s="36"/>
      <c r="D56" s="36"/>
      <c r="E56" s="36"/>
      <c r="F56" s="36"/>
      <c r="G56" s="37"/>
      <c r="H56" s="38"/>
      <c r="I56" s="38"/>
      <c r="J56" s="38"/>
      <c r="K56" s="38"/>
      <c r="L56" s="38"/>
    </row>
    <row r="57" spans="1:21" ht="30.75" customHeight="1">
      <c r="A57" s="35" t="s">
        <v>42</v>
      </c>
      <c r="B57" s="36"/>
      <c r="C57" s="36"/>
      <c r="D57" s="36"/>
      <c r="E57" s="36"/>
      <c r="F57" s="36"/>
      <c r="G57" s="37"/>
      <c r="H57" s="31" t="s">
        <v>39</v>
      </c>
      <c r="I57" s="257"/>
      <c r="J57" s="258"/>
      <c r="K57" s="258"/>
      <c r="L57" s="259"/>
    </row>
    <row r="58" spans="1:21" ht="36" customHeight="1">
      <c r="A58" s="276" t="s">
        <v>43</v>
      </c>
      <c r="B58" s="277"/>
      <c r="C58" s="277"/>
      <c r="D58" s="277"/>
      <c r="E58" s="277"/>
      <c r="F58" s="277"/>
      <c r="G58" s="278"/>
      <c r="H58" s="31" t="s">
        <v>39</v>
      </c>
      <c r="I58" s="257"/>
      <c r="J58" s="258"/>
      <c r="K58" s="258"/>
      <c r="L58" s="259"/>
    </row>
    <row r="59" spans="1:21" ht="30.75" customHeight="1">
      <c r="A59" s="35" t="s">
        <v>44</v>
      </c>
      <c r="B59" s="36"/>
      <c r="C59" s="36"/>
      <c r="D59" s="36"/>
      <c r="E59" s="36"/>
      <c r="F59" s="36"/>
      <c r="G59" s="37"/>
      <c r="H59" s="39" t="s">
        <v>39</v>
      </c>
      <c r="I59" s="257"/>
      <c r="J59" s="258"/>
      <c r="K59" s="258"/>
      <c r="L59" s="259"/>
    </row>
    <row r="60" spans="1:21" ht="30" customHeight="1">
      <c r="A60" s="40" t="s">
        <v>45</v>
      </c>
      <c r="B60" s="40"/>
      <c r="C60" s="40"/>
      <c r="D60" s="40"/>
      <c r="E60" s="40" t="s">
        <v>46</v>
      </c>
      <c r="F60" s="40"/>
      <c r="G60" s="41"/>
      <c r="H60" s="39" t="s">
        <v>39</v>
      </c>
      <c r="I60" s="271"/>
      <c r="J60" s="268"/>
      <c r="K60" s="268"/>
      <c r="L60" s="269"/>
    </row>
    <row r="61" spans="1:21" ht="29.25" customHeight="1">
      <c r="A61" s="35" t="s">
        <v>47</v>
      </c>
      <c r="B61" s="36"/>
      <c r="C61" s="36"/>
      <c r="D61" s="36"/>
      <c r="E61" s="36"/>
      <c r="F61" s="36"/>
      <c r="G61" s="37"/>
      <c r="H61" s="39" t="s">
        <v>39</v>
      </c>
      <c r="I61" s="257"/>
      <c r="J61" s="258"/>
      <c r="K61" s="258"/>
      <c r="L61" s="259"/>
    </row>
    <row r="62" spans="1:21" ht="29.25" customHeight="1">
      <c r="A62" s="42"/>
      <c r="B62" s="42"/>
      <c r="C62" s="42"/>
      <c r="D62" s="42"/>
      <c r="E62" s="42"/>
      <c r="F62" s="340" t="s">
        <v>60</v>
      </c>
      <c r="G62" s="340"/>
      <c r="H62" s="43" t="s">
        <v>39</v>
      </c>
      <c r="I62" s="332">
        <f>SUM(I56:I61)</f>
        <v>0</v>
      </c>
      <c r="J62" s="332"/>
      <c r="K62" s="332"/>
      <c r="L62" s="332"/>
    </row>
    <row r="63" spans="1:21">
      <c r="A63" s="44"/>
      <c r="B63" s="44"/>
      <c r="C63" s="44"/>
      <c r="D63" s="44"/>
      <c r="E63" s="44"/>
      <c r="F63" s="44"/>
      <c r="G63" s="34"/>
    </row>
    <row r="64" spans="1:21" ht="31.5" customHeight="1">
      <c r="A64" s="35" t="s">
        <v>48</v>
      </c>
      <c r="B64" s="36"/>
      <c r="C64" s="36"/>
      <c r="D64" s="36"/>
      <c r="E64" s="36"/>
      <c r="F64" s="37"/>
      <c r="G64" s="31" t="s">
        <v>39</v>
      </c>
      <c r="H64" s="306">
        <v>106027</v>
      </c>
      <c r="I64" s="307"/>
      <c r="J64" s="308"/>
      <c r="K64" s="32"/>
    </row>
    <row r="65" spans="1:18" ht="31.5" customHeight="1">
      <c r="A65" s="35" t="s">
        <v>49</v>
      </c>
      <c r="B65" s="36"/>
      <c r="C65" s="36"/>
      <c r="D65" s="36"/>
      <c r="E65" s="36"/>
      <c r="F65" s="37"/>
      <c r="G65" s="31" t="s">
        <v>39</v>
      </c>
      <c r="H65" s="271"/>
      <c r="I65" s="268"/>
      <c r="J65" s="269"/>
      <c r="K65" s="32"/>
    </row>
    <row r="66" spans="1:18" ht="31.5" customHeight="1">
      <c r="A66" s="35" t="s">
        <v>181</v>
      </c>
      <c r="B66" s="36"/>
      <c r="C66" s="36"/>
      <c r="D66" s="36"/>
      <c r="E66" s="36"/>
      <c r="F66" s="37"/>
      <c r="G66" s="31" t="s">
        <v>39</v>
      </c>
      <c r="H66" s="275"/>
      <c r="I66" s="265"/>
      <c r="J66" s="266"/>
      <c r="K66" s="32"/>
    </row>
    <row r="67" spans="1:18" ht="31.5" customHeight="1">
      <c r="A67" s="35" t="s">
        <v>182</v>
      </c>
      <c r="B67" s="36"/>
      <c r="C67" s="36"/>
      <c r="D67" s="36"/>
      <c r="E67" s="36"/>
      <c r="F67" s="37"/>
      <c r="G67" s="31" t="s">
        <v>39</v>
      </c>
      <c r="H67" s="271"/>
      <c r="I67" s="268"/>
      <c r="J67" s="269"/>
      <c r="K67" s="32"/>
    </row>
    <row r="68" spans="1:18" ht="33" customHeight="1">
      <c r="A68" s="35" t="s">
        <v>50</v>
      </c>
      <c r="B68" s="36"/>
      <c r="C68" s="36"/>
      <c r="D68" s="36"/>
      <c r="E68" s="36"/>
      <c r="F68" s="37"/>
      <c r="G68" s="31" t="s">
        <v>39</v>
      </c>
      <c r="H68" s="271"/>
      <c r="I68" s="268"/>
      <c r="J68" s="269"/>
      <c r="K68" s="32"/>
    </row>
    <row r="69" spans="1:18" ht="33" customHeight="1">
      <c r="A69" s="35" t="s">
        <v>51</v>
      </c>
      <c r="B69" s="36"/>
      <c r="C69" s="36"/>
      <c r="D69" s="36"/>
      <c r="E69" s="36"/>
      <c r="F69" s="37"/>
      <c r="G69" s="31" t="s">
        <v>39</v>
      </c>
      <c r="H69" s="271"/>
      <c r="I69" s="268"/>
      <c r="J69" s="269"/>
      <c r="K69" s="32"/>
    </row>
    <row r="70" spans="1:18" ht="34.5" customHeight="1">
      <c r="A70" s="45"/>
      <c r="B70" s="45"/>
      <c r="C70" s="45"/>
      <c r="D70" s="45"/>
      <c r="E70" s="45"/>
      <c r="F70" s="45" t="s">
        <v>60</v>
      </c>
      <c r="G70" s="46" t="s">
        <v>39</v>
      </c>
      <c r="H70" s="272">
        <f>SUM(H64:H69)</f>
        <v>106027</v>
      </c>
      <c r="I70" s="272"/>
      <c r="J70" s="272"/>
      <c r="K70" s="32"/>
    </row>
    <row r="71" spans="1:18">
      <c r="G71" s="46"/>
    </row>
    <row r="72" spans="1:18" ht="45.75" customHeight="1">
      <c r="A72" s="260" t="s">
        <v>183</v>
      </c>
      <c r="B72" s="260"/>
      <c r="C72" s="260"/>
      <c r="D72" s="260"/>
      <c r="E72" s="260"/>
      <c r="F72" s="260"/>
      <c r="G72" s="46" t="s">
        <v>39</v>
      </c>
      <c r="H72" s="272">
        <v>113268</v>
      </c>
      <c r="I72" s="272"/>
      <c r="J72" s="272"/>
    </row>
    <row r="73" spans="1:18" ht="21">
      <c r="H73" s="263" t="s">
        <v>163</v>
      </c>
      <c r="I73" s="264"/>
      <c r="J73" s="263" t="s">
        <v>164</v>
      </c>
      <c r="K73" s="273"/>
      <c r="L73" s="264"/>
    </row>
    <row r="74" spans="1:18" ht="33" customHeight="1">
      <c r="A74" s="280" t="s">
        <v>185</v>
      </c>
      <c r="B74" s="280"/>
      <c r="C74" s="280"/>
      <c r="D74" s="280"/>
      <c r="E74" s="280"/>
      <c r="F74" s="280"/>
      <c r="G74" s="47" t="s">
        <v>39</v>
      </c>
      <c r="H74" s="274"/>
      <c r="I74" s="274"/>
      <c r="J74" s="265"/>
      <c r="K74" s="265"/>
      <c r="L74" s="266"/>
    </row>
    <row r="75" spans="1:18" s="25" customFormat="1" ht="33" customHeight="1">
      <c r="A75" s="48"/>
      <c r="B75" s="48"/>
      <c r="C75" s="48"/>
      <c r="D75" s="48"/>
      <c r="E75" s="48"/>
      <c r="F75" s="48"/>
      <c r="G75" s="49"/>
      <c r="H75" s="270" t="s">
        <v>163</v>
      </c>
      <c r="I75" s="270"/>
      <c r="J75" s="270" t="s">
        <v>164</v>
      </c>
      <c r="K75" s="270"/>
      <c r="L75" s="270"/>
      <c r="O75" s="25" t="str">
        <f>IF(H80&lt;300001,"NIL",IF(H80&gt;300000,"NIL"))</f>
        <v>NIL</v>
      </c>
    </row>
    <row r="76" spans="1:18" ht="33" customHeight="1">
      <c r="A76" s="280" t="s">
        <v>186</v>
      </c>
      <c r="B76" s="280"/>
      <c r="C76" s="280"/>
      <c r="D76" s="280"/>
      <c r="E76" s="280"/>
      <c r="F76" s="280"/>
      <c r="G76" s="31" t="s">
        <v>39</v>
      </c>
      <c r="H76" s="275"/>
      <c r="I76" s="266"/>
      <c r="J76" s="265"/>
      <c r="K76" s="265"/>
      <c r="L76" s="266"/>
    </row>
    <row r="77" spans="1:18" ht="25.5" customHeight="1">
      <c r="B77" s="305" t="s">
        <v>61</v>
      </c>
      <c r="C77" s="305"/>
      <c r="D77" s="305"/>
      <c r="F77" s="305" t="s">
        <v>64</v>
      </c>
      <c r="G77" s="305"/>
      <c r="H77" s="305"/>
      <c r="M77" s="50"/>
      <c r="N77" s="50"/>
      <c r="O77" s="50" t="str">
        <f>IF(H80&lt;300001,"---",IF(H80&lt;700001,H80-300000,IF(H80&gt;700000,"400000")))</f>
        <v>400000</v>
      </c>
      <c r="P77" s="50" t="str">
        <f>IF(O77="---",0,(O77))</f>
        <v>400000</v>
      </c>
      <c r="Q77" s="50"/>
      <c r="R77" s="50"/>
    </row>
    <row r="78" spans="1:18">
      <c r="B78" s="3" t="s">
        <v>62</v>
      </c>
      <c r="C78" s="3" t="s">
        <v>63</v>
      </c>
      <c r="D78" s="3">
        <f>M36</f>
        <v>1044410</v>
      </c>
      <c r="F78" s="3" t="s">
        <v>62</v>
      </c>
      <c r="G78" s="3" t="s">
        <v>63</v>
      </c>
      <c r="H78" s="3">
        <f>M36</f>
        <v>1044410</v>
      </c>
      <c r="M78" s="50"/>
      <c r="N78" s="50"/>
      <c r="O78" s="50">
        <f>ROUND((P77*0.05),0)</f>
        <v>20000</v>
      </c>
      <c r="P78" s="50"/>
      <c r="Q78" s="50"/>
      <c r="R78" s="50"/>
    </row>
    <row r="79" spans="1:18">
      <c r="B79" s="3" t="s">
        <v>65</v>
      </c>
      <c r="C79" s="3" t="s">
        <v>63</v>
      </c>
      <c r="D79" s="3">
        <v>50000</v>
      </c>
      <c r="F79" s="156" t="s">
        <v>207</v>
      </c>
      <c r="G79" s="156" t="s">
        <v>63</v>
      </c>
      <c r="H79" s="3">
        <v>75000</v>
      </c>
      <c r="M79" s="50"/>
      <c r="N79" s="50"/>
      <c r="O79" s="50"/>
      <c r="P79" s="50"/>
      <c r="Q79" s="50"/>
      <c r="R79" s="50"/>
    </row>
    <row r="80" spans="1:18">
      <c r="C80" s="3" t="s">
        <v>63</v>
      </c>
      <c r="D80" s="3">
        <f>D78-D79</f>
        <v>994410</v>
      </c>
      <c r="F80" s="156" t="s">
        <v>202</v>
      </c>
      <c r="G80" s="156" t="s">
        <v>63</v>
      </c>
      <c r="H80" s="3">
        <f>H78-H79</f>
        <v>969410</v>
      </c>
      <c r="M80" s="50"/>
      <c r="N80" s="50"/>
      <c r="O80" s="50">
        <f>IF(H80&lt;700001,"---", IF(H80&lt; 1000001,H80-700000,IF(H80&gt;1000000,"300000")))</f>
        <v>269410</v>
      </c>
      <c r="P80" s="50">
        <f>IF(O80="---",0,(O80))</f>
        <v>269410</v>
      </c>
      <c r="Q80" s="50"/>
      <c r="R80" s="50"/>
    </row>
    <row r="81" spans="2:18">
      <c r="B81" s="3" t="s">
        <v>66</v>
      </c>
      <c r="C81" s="3" t="s">
        <v>63</v>
      </c>
      <c r="D81" s="51">
        <f>H54</f>
        <v>200000</v>
      </c>
      <c r="F81" s="303" t="s">
        <v>72</v>
      </c>
      <c r="G81" s="303"/>
      <c r="H81" s="303"/>
      <c r="M81" s="50"/>
      <c r="N81" s="50"/>
      <c r="O81" s="50">
        <f>ROUND((P80*0.1),0)</f>
        <v>26941</v>
      </c>
      <c r="P81" s="50"/>
      <c r="Q81" s="50"/>
      <c r="R81" s="50"/>
    </row>
    <row r="82" spans="2:18">
      <c r="B82" s="3" t="s">
        <v>67</v>
      </c>
      <c r="C82" s="3" t="s">
        <v>63</v>
      </c>
      <c r="D82" s="3">
        <f>T36</f>
        <v>2500</v>
      </c>
      <c r="F82" s="156" t="s">
        <v>195</v>
      </c>
      <c r="G82" s="3" t="s">
        <v>63</v>
      </c>
      <c r="H82" s="52" t="str">
        <f>O75</f>
        <v>NIL</v>
      </c>
      <c r="M82" s="50"/>
      <c r="N82" s="50"/>
      <c r="O82" s="50" t="str">
        <f>IF(H80&lt;1000001,"---",IF(H80&lt;1200001,H80-1000000,IF(H80&gt;1200000,"200000")))</f>
        <v>---</v>
      </c>
      <c r="P82" s="50">
        <f>IF(O82="---",0,(O82))</f>
        <v>0</v>
      </c>
      <c r="Q82" s="50"/>
      <c r="R82" s="50"/>
    </row>
    <row r="83" spans="2:18">
      <c r="C83" s="3" t="s">
        <v>63</v>
      </c>
      <c r="D83" s="51">
        <f>D80-(D81+D82)</f>
        <v>791910</v>
      </c>
      <c r="F83" s="156" t="s">
        <v>206</v>
      </c>
      <c r="G83" s="3" t="s">
        <v>63</v>
      </c>
      <c r="H83" s="3">
        <f>O78</f>
        <v>20000</v>
      </c>
      <c r="M83" s="50"/>
      <c r="N83" s="50"/>
      <c r="O83" s="50">
        <f>ROUND((P82*0.15),0)</f>
        <v>0</v>
      </c>
      <c r="P83" s="50"/>
      <c r="Q83" s="50"/>
      <c r="R83" s="50"/>
    </row>
    <row r="84" spans="2:18">
      <c r="B84" s="3" t="s">
        <v>190</v>
      </c>
      <c r="C84" s="3" t="s">
        <v>63</v>
      </c>
      <c r="D84" s="53" t="str">
        <f>IF(D81&gt;0,"OWN HOUSE",(H36))</f>
        <v>OWN HOUSE</v>
      </c>
      <c r="F84" s="156" t="s">
        <v>208</v>
      </c>
      <c r="G84" s="3" t="s">
        <v>63</v>
      </c>
      <c r="H84" s="3">
        <f>O81</f>
        <v>26941</v>
      </c>
      <c r="M84" s="50">
        <f>IF(D84="OWN HOUSE",0,(D84))</f>
        <v>0</v>
      </c>
      <c r="N84" s="50"/>
      <c r="O84" s="50" t="str">
        <f>IF(H80&lt;1200001,"---",IF(H80&lt;1500001,H80-1200000,IF(H80&gt;1500000,"300000")))</f>
        <v>---</v>
      </c>
      <c r="P84" s="50">
        <f>IF(O84="---",0,(O84))</f>
        <v>0</v>
      </c>
      <c r="Q84" s="50"/>
      <c r="R84" s="50"/>
    </row>
    <row r="85" spans="2:18">
      <c r="C85" s="3" t="s">
        <v>63</v>
      </c>
      <c r="D85" s="51">
        <f>D83-M84</f>
        <v>791910</v>
      </c>
      <c r="F85" s="156" t="s">
        <v>209</v>
      </c>
      <c r="G85" s="3" t="s">
        <v>63</v>
      </c>
      <c r="H85" s="3">
        <f>O83</f>
        <v>0</v>
      </c>
      <c r="M85" s="50"/>
      <c r="N85" s="50"/>
      <c r="O85" s="50">
        <f>ROUND((P84*0.2),0)</f>
        <v>0</v>
      </c>
      <c r="P85" s="50"/>
      <c r="Q85" s="50"/>
      <c r="R85" s="50"/>
    </row>
    <row r="86" spans="2:18">
      <c r="B86" s="54" t="s">
        <v>68</v>
      </c>
      <c r="F86" s="156" t="s">
        <v>199</v>
      </c>
      <c r="G86" s="3" t="s">
        <v>63</v>
      </c>
      <c r="H86" s="3">
        <f>O85</f>
        <v>0</v>
      </c>
      <c r="M86" s="50"/>
      <c r="N86" s="50"/>
      <c r="O86" s="50" t="str">
        <f>IF((H80-1500000)&gt;0,H80-1500000,IF((H80-1500000)&lt;0,"0"))</f>
        <v>0</v>
      </c>
      <c r="P86" s="50" t="str">
        <f>IF(O86="---",0,(O86))</f>
        <v>0</v>
      </c>
      <c r="Q86" s="50"/>
      <c r="R86" s="50"/>
    </row>
    <row r="87" spans="2:18" ht="30">
      <c r="B87" s="55" t="s">
        <v>70</v>
      </c>
      <c r="C87" s="3" t="s">
        <v>63</v>
      </c>
      <c r="D87" s="3">
        <f>N87</f>
        <v>150000</v>
      </c>
      <c r="F87" s="171" t="s">
        <v>200</v>
      </c>
      <c r="G87" s="170" t="s">
        <v>63</v>
      </c>
      <c r="H87" s="170">
        <f>O87</f>
        <v>0</v>
      </c>
      <c r="M87" s="50">
        <f>H70+S50+O46+N36+O36+P36+Q36</f>
        <v>266426</v>
      </c>
      <c r="N87" s="50">
        <f>IF(M87&lt;=150000,(M87),150000)</f>
        <v>150000</v>
      </c>
      <c r="O87" s="50">
        <f>ROUND((P86*0.3),0)</f>
        <v>0</v>
      </c>
      <c r="P87" s="50"/>
      <c r="Q87" s="50"/>
      <c r="R87" s="50"/>
    </row>
    <row r="88" spans="2:18">
      <c r="C88" s="3" t="s">
        <v>63</v>
      </c>
      <c r="D88" s="51">
        <f>D85-D87</f>
        <v>641910</v>
      </c>
      <c r="M88" s="50"/>
      <c r="N88" s="50"/>
      <c r="O88" s="50"/>
      <c r="P88" s="50"/>
      <c r="Q88" s="50"/>
      <c r="R88" s="50"/>
    </row>
    <row r="89" spans="2:18" ht="45">
      <c r="B89" s="55" t="s">
        <v>69</v>
      </c>
      <c r="C89" s="3" t="s">
        <v>63</v>
      </c>
      <c r="D89" s="3">
        <f>M103</f>
        <v>50000</v>
      </c>
      <c r="M89" s="50"/>
      <c r="N89" s="50"/>
      <c r="O89" s="50"/>
      <c r="P89" s="50"/>
      <c r="Q89" s="50"/>
      <c r="R89" s="50"/>
    </row>
    <row r="90" spans="2:18">
      <c r="C90" s="3" t="s">
        <v>63</v>
      </c>
      <c r="D90" s="51">
        <f>D88-D89</f>
        <v>591910</v>
      </c>
      <c r="F90" s="3" t="s">
        <v>86</v>
      </c>
      <c r="G90" s="3" t="s">
        <v>63</v>
      </c>
      <c r="H90" s="3">
        <f>SUM(H83:H88)</f>
        <v>46941</v>
      </c>
      <c r="M90" s="50"/>
      <c r="N90" s="50"/>
      <c r="O90" s="50"/>
      <c r="P90" s="50"/>
      <c r="Q90" s="50"/>
      <c r="R90" s="50"/>
    </row>
    <row r="91" spans="2:18" ht="30">
      <c r="B91" s="56" t="s">
        <v>71</v>
      </c>
      <c r="C91" s="3" t="s">
        <v>63</v>
      </c>
      <c r="D91" s="51">
        <f>R36+I62</f>
        <v>0</v>
      </c>
      <c r="F91" s="256" t="s">
        <v>205</v>
      </c>
      <c r="G91" s="3" t="s">
        <v>39</v>
      </c>
      <c r="H91" s="3">
        <f>IF(H80&lt;700000,(25000),(0))</f>
        <v>0</v>
      </c>
      <c r="M91" s="50"/>
      <c r="N91" s="50"/>
      <c r="O91" s="50"/>
      <c r="P91" s="50"/>
      <c r="Q91" s="50"/>
      <c r="R91" s="50"/>
    </row>
    <row r="92" spans="2:18">
      <c r="C92" s="3" t="s">
        <v>63</v>
      </c>
      <c r="D92" s="51">
        <f>D90-D91</f>
        <v>591910</v>
      </c>
      <c r="F92" s="3" t="s">
        <v>191</v>
      </c>
      <c r="G92" s="3" t="s">
        <v>39</v>
      </c>
      <c r="H92" s="3">
        <f>H90-H91</f>
        <v>46941</v>
      </c>
      <c r="M92" s="57">
        <f>D93</f>
        <v>591910</v>
      </c>
      <c r="N92" s="50"/>
      <c r="O92" s="50"/>
      <c r="P92" s="50"/>
      <c r="Q92" s="50"/>
      <c r="R92" s="50"/>
    </row>
    <row r="93" spans="2:18">
      <c r="B93" s="3" t="s">
        <v>184</v>
      </c>
      <c r="C93" s="3" t="s">
        <v>63</v>
      </c>
      <c r="D93" s="51">
        <f>ROUND(D92,-1)</f>
        <v>591910</v>
      </c>
      <c r="F93" s="3" t="s">
        <v>80</v>
      </c>
      <c r="G93" s="3" t="s">
        <v>63</v>
      </c>
      <c r="H93" s="3">
        <f>ROUND((H92*0.04),0)</f>
        <v>1878</v>
      </c>
      <c r="M93" s="50" t="str">
        <f>IF(M92&lt;250001,"NIL",IF(M92&gt;250000,"NIL"))</f>
        <v>NIL</v>
      </c>
      <c r="N93" s="50"/>
      <c r="O93" s="50"/>
      <c r="P93" s="50"/>
      <c r="Q93" s="50"/>
      <c r="R93" s="50"/>
    </row>
    <row r="94" spans="2:18">
      <c r="B94" s="303" t="s">
        <v>72</v>
      </c>
      <c r="C94" s="303"/>
      <c r="D94" s="303"/>
      <c r="F94" s="3" t="s">
        <v>81</v>
      </c>
      <c r="G94" s="3" t="s">
        <v>63</v>
      </c>
      <c r="H94" s="3">
        <f>H90+H93</f>
        <v>48819</v>
      </c>
      <c r="M94" s="50" t="str">
        <f>IF(M92&lt;250001,"---",IF(M92&lt;500001,M92-250000,IF(M92&gt;500000,"250000")))</f>
        <v>250000</v>
      </c>
      <c r="N94" s="50"/>
      <c r="O94" s="50"/>
      <c r="P94" s="50"/>
      <c r="Q94" s="50"/>
      <c r="R94" s="50"/>
    </row>
    <row r="95" spans="2:18">
      <c r="B95" s="3" t="s">
        <v>73</v>
      </c>
      <c r="C95" s="3" t="s">
        <v>63</v>
      </c>
      <c r="D95" s="52" t="str">
        <f>M93</f>
        <v>NIL</v>
      </c>
      <c r="F95" s="3" t="s">
        <v>82</v>
      </c>
      <c r="G95" s="3" t="s">
        <v>63</v>
      </c>
      <c r="H95" s="3">
        <f>U36+V36</f>
        <v>45871</v>
      </c>
      <c r="M95" s="50">
        <f>ROUND((M94*0.05),0)</f>
        <v>12500</v>
      </c>
      <c r="N95" s="50"/>
      <c r="O95" s="50"/>
      <c r="P95" s="50"/>
      <c r="Q95" s="50"/>
      <c r="R95" s="50"/>
    </row>
    <row r="96" spans="2:18">
      <c r="B96" s="3" t="s">
        <v>74</v>
      </c>
      <c r="C96" s="3" t="s">
        <v>63</v>
      </c>
      <c r="D96" s="3">
        <f>M95</f>
        <v>12500</v>
      </c>
      <c r="F96" s="3" t="s">
        <v>83</v>
      </c>
      <c r="G96" s="3" t="s">
        <v>63</v>
      </c>
      <c r="H96" s="3">
        <f>H74+J74</f>
        <v>0</v>
      </c>
      <c r="M96" s="50"/>
      <c r="N96" s="50"/>
      <c r="O96" s="50"/>
      <c r="P96" s="50"/>
      <c r="Q96" s="50"/>
      <c r="R96" s="50"/>
    </row>
    <row r="97" spans="2:18">
      <c r="B97" s="3" t="s">
        <v>75</v>
      </c>
      <c r="C97" s="3" t="s">
        <v>63</v>
      </c>
      <c r="D97" s="3">
        <f>M98</f>
        <v>18382</v>
      </c>
      <c r="F97" s="3" t="s">
        <v>84</v>
      </c>
      <c r="G97" s="3" t="s">
        <v>63</v>
      </c>
      <c r="H97" s="3">
        <f>H76+J76</f>
        <v>0</v>
      </c>
      <c r="M97" s="50">
        <f>IF(M92&lt;500001,"----",IF(M92&gt;1000001,"500000",M92-500000))</f>
        <v>91910</v>
      </c>
      <c r="N97" s="50">
        <f>IF(M97="----",0,(M97))</f>
        <v>91910</v>
      </c>
      <c r="O97" s="50"/>
      <c r="P97" s="50"/>
      <c r="Q97" s="50"/>
      <c r="R97" s="50"/>
    </row>
    <row r="98" spans="2:18">
      <c r="B98" s="3" t="s">
        <v>76</v>
      </c>
      <c r="C98" s="3" t="s">
        <v>63</v>
      </c>
      <c r="D98" s="3">
        <f>M100</f>
        <v>0</v>
      </c>
      <c r="F98" s="3" t="s">
        <v>85</v>
      </c>
      <c r="G98" s="3" t="s">
        <v>63</v>
      </c>
      <c r="H98" s="3">
        <f>H94-(H95+H96+H97)</f>
        <v>2948</v>
      </c>
      <c r="M98" s="50">
        <f>ROUND((N97*0.2),0)</f>
        <v>18382</v>
      </c>
      <c r="N98" s="50"/>
      <c r="O98" s="50"/>
      <c r="P98" s="50"/>
      <c r="Q98" s="50"/>
      <c r="R98" s="50"/>
    </row>
    <row r="99" spans="2:18">
      <c r="B99" s="3" t="s">
        <v>77</v>
      </c>
      <c r="D99" s="3">
        <f>SUM(D96:D98)</f>
        <v>30882</v>
      </c>
      <c r="M99" s="50" t="str">
        <f>IF((M92-1000001)&gt;0,M92-1000000,IF((M92-1000000)&lt;0,"0"))</f>
        <v>0</v>
      </c>
      <c r="N99" s="50"/>
      <c r="O99" s="50"/>
      <c r="P99" s="50"/>
      <c r="Q99" s="50"/>
      <c r="R99" s="50"/>
    </row>
    <row r="100" spans="2:18" ht="30">
      <c r="B100" s="55" t="s">
        <v>78</v>
      </c>
      <c r="C100" s="3" t="s">
        <v>63</v>
      </c>
      <c r="D100" s="3">
        <f>IF(M92&lt;500000,(12500),(0))</f>
        <v>0</v>
      </c>
      <c r="M100" s="50">
        <f>ROUND((M99*0.3),0)</f>
        <v>0</v>
      </c>
      <c r="N100" s="50"/>
      <c r="O100" s="50"/>
      <c r="P100" s="50"/>
      <c r="Q100" s="50"/>
      <c r="R100" s="50"/>
    </row>
    <row r="101" spans="2:18">
      <c r="B101" s="3" t="s">
        <v>79</v>
      </c>
      <c r="C101" s="3" t="s">
        <v>63</v>
      </c>
      <c r="D101" s="3">
        <f>D99-D100</f>
        <v>30882</v>
      </c>
      <c r="M101" s="50"/>
      <c r="N101" s="50"/>
      <c r="O101" s="50"/>
      <c r="P101" s="50"/>
      <c r="Q101" s="50"/>
      <c r="R101" s="50"/>
    </row>
    <row r="102" spans="2:18">
      <c r="B102" s="3" t="s">
        <v>80</v>
      </c>
      <c r="C102" s="3" t="s">
        <v>63</v>
      </c>
      <c r="D102" s="3">
        <f>ROUND((D101*0.04),0)</f>
        <v>1235</v>
      </c>
      <c r="M102" s="50"/>
      <c r="N102" s="50"/>
      <c r="O102" s="50"/>
      <c r="P102" s="50"/>
      <c r="Q102" s="50"/>
      <c r="R102" s="50"/>
    </row>
    <row r="103" spans="2:18">
      <c r="B103" s="3" t="s">
        <v>81</v>
      </c>
      <c r="C103" s="3" t="s">
        <v>63</v>
      </c>
      <c r="D103" s="3">
        <f>D101+D102</f>
        <v>32117</v>
      </c>
      <c r="M103" s="50">
        <f>IF(H72&gt;50000,50000,IF(H72&lt;50001,H72))</f>
        <v>50000</v>
      </c>
      <c r="N103" s="50"/>
      <c r="O103" s="50"/>
      <c r="P103" s="50"/>
      <c r="Q103" s="50"/>
      <c r="R103" s="50"/>
    </row>
    <row r="104" spans="2:18">
      <c r="B104" s="3" t="s">
        <v>82</v>
      </c>
      <c r="C104" s="3" t="s">
        <v>63</v>
      </c>
      <c r="D104" s="3">
        <f>U36+V36</f>
        <v>45871</v>
      </c>
    </row>
    <row r="105" spans="2:18">
      <c r="B105" s="3" t="s">
        <v>83</v>
      </c>
      <c r="C105" s="3" t="s">
        <v>63</v>
      </c>
      <c r="D105" s="3">
        <f>H74+J74</f>
        <v>0</v>
      </c>
    </row>
    <row r="106" spans="2:18">
      <c r="B106" s="3" t="s">
        <v>84</v>
      </c>
      <c r="C106" s="3" t="s">
        <v>63</v>
      </c>
      <c r="D106" s="3">
        <f>H76+J76</f>
        <v>0</v>
      </c>
    </row>
    <row r="107" spans="2:18">
      <c r="B107" s="3" t="s">
        <v>85</v>
      </c>
      <c r="C107" s="3" t="s">
        <v>63</v>
      </c>
      <c r="D107" s="3">
        <f>D103-(D104+D105+D106)</f>
        <v>-13754</v>
      </c>
    </row>
  </sheetData>
  <mergeCells count="139">
    <mergeCell ref="A1:S1"/>
    <mergeCell ref="I62:L62"/>
    <mergeCell ref="A3:D3"/>
    <mergeCell ref="A4:D4"/>
    <mergeCell ref="A11:V11"/>
    <mergeCell ref="A2:D2"/>
    <mergeCell ref="E7:J7"/>
    <mergeCell ref="E5:J5"/>
    <mergeCell ref="A6:D6"/>
    <mergeCell ref="E6:J6"/>
    <mergeCell ref="A7:D7"/>
    <mergeCell ref="S49:U49"/>
    <mergeCell ref="M46:N46"/>
    <mergeCell ref="A5:D5"/>
    <mergeCell ref="E2:J2"/>
    <mergeCell ref="O50:R50"/>
    <mergeCell ref="F62:G62"/>
    <mergeCell ref="I60:L60"/>
    <mergeCell ref="E3:J3"/>
    <mergeCell ref="N13:N14"/>
    <mergeCell ref="B36:E36"/>
    <mergeCell ref="B16:E16"/>
    <mergeCell ref="A12:A14"/>
    <mergeCell ref="B12:M12"/>
    <mergeCell ref="B13:E14"/>
    <mergeCell ref="N12:V12"/>
    <mergeCell ref="U13:U14"/>
    <mergeCell ref="V13:V14"/>
    <mergeCell ref="R13:R14"/>
    <mergeCell ref="T13:T14"/>
    <mergeCell ref="L13:L14"/>
    <mergeCell ref="Q13:Q14"/>
    <mergeCell ref="B31:E31"/>
    <mergeCell ref="B32:E32"/>
    <mergeCell ref="B26:E26"/>
    <mergeCell ref="M13:M14"/>
    <mergeCell ref="E9:J9"/>
    <mergeCell ref="B25:E25"/>
    <mergeCell ref="B21:E21"/>
    <mergeCell ref="F13:F14"/>
    <mergeCell ref="G13:G14"/>
    <mergeCell ref="B20:E20"/>
    <mergeCell ref="B17:E17"/>
    <mergeCell ref="B28:E28"/>
    <mergeCell ref="B40:E40"/>
    <mergeCell ref="B15:E15"/>
    <mergeCell ref="B22:E22"/>
    <mergeCell ref="F40:H40"/>
    <mergeCell ref="I40:L40"/>
    <mergeCell ref="K13:K14"/>
    <mergeCell ref="H13:H14"/>
    <mergeCell ref="I13:I14"/>
    <mergeCell ref="J13:J14"/>
    <mergeCell ref="B27:E27"/>
    <mergeCell ref="B30:E30"/>
    <mergeCell ref="B29:E29"/>
    <mergeCell ref="B33:E33"/>
    <mergeCell ref="B35:E35"/>
    <mergeCell ref="A39:E39"/>
    <mergeCell ref="B24:E24"/>
    <mergeCell ref="B94:D94"/>
    <mergeCell ref="F81:H81"/>
    <mergeCell ref="A49:F49"/>
    <mergeCell ref="G49:N49"/>
    <mergeCell ref="B19:E19"/>
    <mergeCell ref="B43:E43"/>
    <mergeCell ref="B45:E45"/>
    <mergeCell ref="F45:H45"/>
    <mergeCell ref="I45:L45"/>
    <mergeCell ref="F77:H77"/>
    <mergeCell ref="B77:D77"/>
    <mergeCell ref="H64:J64"/>
    <mergeCell ref="H70:J70"/>
    <mergeCell ref="H65:J65"/>
    <mergeCell ref="A38:U38"/>
    <mergeCell ref="O39:U39"/>
    <mergeCell ref="S50:U50"/>
    <mergeCell ref="F42:H42"/>
    <mergeCell ref="A54:F54"/>
    <mergeCell ref="F39:H39"/>
    <mergeCell ref="O45:U45"/>
    <mergeCell ref="I39:L39"/>
    <mergeCell ref="B42:E42"/>
    <mergeCell ref="F46:H46"/>
    <mergeCell ref="O40:U40"/>
    <mergeCell ref="F43:H43"/>
    <mergeCell ref="O43:U43"/>
    <mergeCell ref="A48:U48"/>
    <mergeCell ref="O49:R49"/>
    <mergeCell ref="A50:F50"/>
    <mergeCell ref="I43:L43"/>
    <mergeCell ref="B41:E41"/>
    <mergeCell ref="I42:L42"/>
    <mergeCell ref="O42:U42"/>
    <mergeCell ref="E4:J4"/>
    <mergeCell ref="O13:O14"/>
    <mergeCell ref="B23:E23"/>
    <mergeCell ref="A8:D8"/>
    <mergeCell ref="B18:E18"/>
    <mergeCell ref="S13:S14"/>
    <mergeCell ref="A76:F76"/>
    <mergeCell ref="I46:L46"/>
    <mergeCell ref="O46:U46"/>
    <mergeCell ref="F41:H41"/>
    <mergeCell ref="B46:E46"/>
    <mergeCell ref="O44:U44"/>
    <mergeCell ref="G50:N50"/>
    <mergeCell ref="A9:D9"/>
    <mergeCell ref="E8:J8"/>
    <mergeCell ref="F44:H44"/>
    <mergeCell ref="H76:I76"/>
    <mergeCell ref="I57:L57"/>
    <mergeCell ref="A74:F74"/>
    <mergeCell ref="P13:P14"/>
    <mergeCell ref="B34:E34"/>
    <mergeCell ref="O41:U41"/>
    <mergeCell ref="B44:E44"/>
    <mergeCell ref="I41:L41"/>
    <mergeCell ref="I61:L61"/>
    <mergeCell ref="A72:F72"/>
    <mergeCell ref="I44:L44"/>
    <mergeCell ref="H73:I73"/>
    <mergeCell ref="J76:L76"/>
    <mergeCell ref="H54:J54"/>
    <mergeCell ref="J74:L74"/>
    <mergeCell ref="H75:I75"/>
    <mergeCell ref="J75:L75"/>
    <mergeCell ref="H67:J67"/>
    <mergeCell ref="H72:J72"/>
    <mergeCell ref="H69:J69"/>
    <mergeCell ref="J73:L73"/>
    <mergeCell ref="H74:I74"/>
    <mergeCell ref="H68:J68"/>
    <mergeCell ref="H66:J66"/>
    <mergeCell ref="I59:L59"/>
    <mergeCell ref="I58:L58"/>
    <mergeCell ref="A58:G58"/>
    <mergeCell ref="A52:F52"/>
    <mergeCell ref="H52:J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91"/>
  <sheetViews>
    <sheetView workbookViewId="0">
      <selection activeCell="T40" sqref="T40"/>
    </sheetView>
  </sheetViews>
  <sheetFormatPr defaultColWidth="9" defaultRowHeight="15"/>
  <cols>
    <col min="1" max="1" width="1.5703125" style="58" customWidth="1"/>
    <col min="2" max="2" width="7.140625" style="58" customWidth="1"/>
    <col min="3" max="3" width="5" style="58" customWidth="1"/>
    <col min="4" max="4" width="6.5703125" style="58" customWidth="1"/>
    <col min="5" max="5" width="9.42578125" style="58" customWidth="1"/>
    <col min="6" max="6" width="9.85546875" style="58" customWidth="1"/>
    <col min="7" max="7" width="10.140625" style="58" customWidth="1"/>
    <col min="8" max="8" width="3.5703125" style="58" customWidth="1"/>
    <col min="9" max="9" width="4" style="58" customWidth="1"/>
    <col min="10" max="10" width="2.7109375" style="58" customWidth="1"/>
    <col min="11" max="11" width="4.7109375" style="58" customWidth="1"/>
    <col min="12" max="12" width="4.42578125" style="58" customWidth="1"/>
    <col min="13" max="13" width="3.42578125" style="58" customWidth="1"/>
    <col min="14" max="14" width="2.42578125" style="58" customWidth="1"/>
    <col min="15" max="15" width="4" style="58" customWidth="1"/>
    <col min="16" max="16" width="3.7109375" style="58" customWidth="1"/>
    <col min="17" max="17" width="2.5703125" style="58" customWidth="1"/>
    <col min="18" max="18" width="9.140625" style="58" customWidth="1"/>
    <col min="19" max="19" width="2" style="58" customWidth="1"/>
    <col min="20" max="20" width="6.42578125" style="58" customWidth="1"/>
    <col min="21" max="21" width="10" style="58" customWidth="1"/>
    <col min="22" max="22" width="7.7109375" style="58" hidden="1" customWidth="1"/>
    <col min="23" max="23" width="2.42578125" style="58" hidden="1" customWidth="1"/>
    <col min="24" max="24" width="0.28515625" style="58" customWidth="1"/>
    <col min="25" max="25" width="6.85546875" style="58" customWidth="1"/>
    <col min="26" max="26" width="4.85546875" style="58" customWidth="1"/>
    <col min="27" max="27" width="5.85546875" style="58" customWidth="1"/>
    <col min="28" max="29" width="2" style="58" customWidth="1"/>
    <col min="30" max="30" width="2.7109375" style="58" customWidth="1"/>
    <col min="31" max="31" width="4.7109375" style="58" customWidth="1"/>
    <col min="32" max="32" width="7.85546875" style="59" customWidth="1"/>
    <col min="33" max="33" width="7" style="58" customWidth="1"/>
    <col min="34" max="34" width="2.85546875" style="58" customWidth="1"/>
    <col min="35" max="35" width="4.7109375" style="58" customWidth="1"/>
    <col min="36" max="36" width="5" style="58" customWidth="1"/>
    <col min="37" max="37" width="5.85546875" style="58" customWidth="1"/>
    <col min="38" max="38" width="6.140625" style="58" customWidth="1"/>
    <col min="39" max="39" width="5.7109375" style="58" customWidth="1"/>
    <col min="40" max="40" width="6.140625" style="58" customWidth="1"/>
    <col min="41" max="41" width="5.140625" style="58" customWidth="1"/>
    <col min="42" max="42" width="6.28515625" style="58" customWidth="1"/>
    <col min="43" max="43" width="7.7109375" style="58" customWidth="1"/>
    <col min="44" max="44" width="4" style="58" customWidth="1"/>
    <col min="45" max="45" width="4.5703125" style="58" customWidth="1"/>
    <col min="46" max="46" width="6.140625" style="58" customWidth="1"/>
    <col min="47" max="47" width="6.28515625" style="58" customWidth="1"/>
    <col min="48" max="48" width="5.28515625" style="58" customWidth="1"/>
    <col min="49" max="257" width="4" style="58" customWidth="1"/>
    <col min="258" max="16384" width="9" style="1"/>
  </cols>
  <sheetData>
    <row r="1" spans="1:58" ht="15" customHeight="1">
      <c r="A1" s="480" t="s">
        <v>210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2"/>
      <c r="S1" s="61"/>
      <c r="T1" s="392" t="s">
        <v>87</v>
      </c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3"/>
      <c r="AP1" s="62"/>
      <c r="AQ1" s="62"/>
      <c r="AR1" s="62"/>
      <c r="AS1" s="63"/>
      <c r="AT1" s="63"/>
      <c r="AU1" s="63"/>
      <c r="AV1" s="63"/>
      <c r="AW1" s="63"/>
      <c r="AX1" s="64"/>
      <c r="AY1" s="64"/>
      <c r="AZ1" s="65"/>
      <c r="BA1" s="65"/>
      <c r="BB1" s="65"/>
      <c r="BC1" s="65"/>
      <c r="BD1" s="65"/>
      <c r="BE1" s="65"/>
      <c r="BF1" s="65"/>
    </row>
    <row r="2" spans="1:58" ht="15" customHeight="1">
      <c r="A2" s="66" t="s">
        <v>88</v>
      </c>
      <c r="B2" s="67"/>
      <c r="C2" s="68" t="str">
        <f>Enter!E2</f>
        <v>LOURDU JASMINE METILDA J</v>
      </c>
      <c r="D2" s="69"/>
      <c r="E2" s="69"/>
      <c r="F2" s="70"/>
      <c r="G2" s="69"/>
      <c r="H2" s="69"/>
      <c r="I2" s="69"/>
      <c r="J2" s="69"/>
      <c r="K2" s="69" t="s">
        <v>89</v>
      </c>
      <c r="L2" s="69"/>
      <c r="M2" s="69"/>
      <c r="N2" s="68" t="str">
        <f>Enter!E7</f>
        <v>P.G.ASST.</v>
      </c>
      <c r="O2" s="69"/>
      <c r="P2" s="69"/>
      <c r="Q2" s="69"/>
      <c r="R2" s="71"/>
      <c r="S2" s="65"/>
      <c r="T2" s="420" t="s">
        <v>27</v>
      </c>
      <c r="U2" s="347"/>
      <c r="V2" s="347"/>
      <c r="W2" s="347"/>
      <c r="X2" s="348"/>
      <c r="Y2" s="346" t="s">
        <v>28</v>
      </c>
      <c r="Z2" s="347"/>
      <c r="AA2" s="348"/>
      <c r="AB2" s="346" t="s">
        <v>30</v>
      </c>
      <c r="AC2" s="347"/>
      <c r="AD2" s="347"/>
      <c r="AE2" s="347"/>
      <c r="AF2" s="347"/>
      <c r="AG2" s="348"/>
      <c r="AH2" s="364" t="s">
        <v>31</v>
      </c>
      <c r="AI2" s="364"/>
      <c r="AJ2" s="364"/>
      <c r="AK2" s="364"/>
      <c r="AL2" s="364"/>
      <c r="AM2" s="364"/>
      <c r="AN2" s="364"/>
      <c r="AO2" s="365"/>
      <c r="AP2" s="62"/>
      <c r="AQ2" s="62"/>
      <c r="AR2" s="62"/>
      <c r="AS2" s="63"/>
      <c r="AT2" s="63"/>
      <c r="AU2" s="63"/>
      <c r="AV2" s="63"/>
      <c r="AW2" s="63"/>
      <c r="AX2" s="64"/>
      <c r="AY2" s="64"/>
      <c r="AZ2" s="65"/>
      <c r="BA2" s="65"/>
      <c r="BB2" s="65"/>
      <c r="BC2" s="65"/>
      <c r="BD2" s="65"/>
      <c r="BE2" s="65"/>
      <c r="BF2" s="65"/>
    </row>
    <row r="3" spans="1:58" ht="15" customHeight="1">
      <c r="A3" s="447" t="s">
        <v>90</v>
      </c>
      <c r="B3" s="448"/>
      <c r="C3" s="448"/>
      <c r="D3" s="146" t="str">
        <f>Enter!E3</f>
        <v>JOSEPH RAJ</v>
      </c>
      <c r="E3" s="69"/>
      <c r="F3" s="69"/>
      <c r="G3" s="69"/>
      <c r="H3" s="69"/>
      <c r="I3" s="69"/>
      <c r="J3" s="69"/>
      <c r="K3" s="69" t="s">
        <v>91</v>
      </c>
      <c r="L3" s="69"/>
      <c r="M3" s="69"/>
      <c r="N3" s="478" t="str">
        <f>Enter!E8</f>
        <v>XXXXXXXXX</v>
      </c>
      <c r="O3" s="478"/>
      <c r="P3" s="478"/>
      <c r="Q3" s="478"/>
      <c r="R3" s="479"/>
      <c r="S3" s="65"/>
      <c r="T3" s="165">
        <v>1</v>
      </c>
      <c r="U3" s="485">
        <f>Enter!B40</f>
        <v>747491366</v>
      </c>
      <c r="V3" s="485"/>
      <c r="W3" s="485"/>
      <c r="X3" s="486"/>
      <c r="Y3" s="346"/>
      <c r="Z3" s="347"/>
      <c r="AA3" s="348"/>
      <c r="AB3" s="360">
        <f>Enter!I40</f>
        <v>2459</v>
      </c>
      <c r="AC3" s="361"/>
      <c r="AD3" s="361"/>
      <c r="AE3" s="361"/>
      <c r="AF3" s="159" t="s">
        <v>32</v>
      </c>
      <c r="AG3" s="160">
        <f>Enter!N40</f>
        <v>12</v>
      </c>
      <c r="AH3" s="364">
        <f>Enter!O40</f>
        <v>29508</v>
      </c>
      <c r="AI3" s="364"/>
      <c r="AJ3" s="364"/>
      <c r="AK3" s="364"/>
      <c r="AL3" s="364"/>
      <c r="AM3" s="364"/>
      <c r="AN3" s="364"/>
      <c r="AO3" s="365"/>
      <c r="AP3" s="62"/>
      <c r="AQ3" s="62"/>
      <c r="AR3" s="62"/>
      <c r="AS3" s="63"/>
      <c r="AT3" s="63"/>
      <c r="AU3" s="63"/>
      <c r="AV3" s="63"/>
      <c r="AW3" s="63"/>
      <c r="AX3" s="64"/>
      <c r="AY3" s="64"/>
      <c r="AZ3" s="65"/>
      <c r="BA3" s="65"/>
      <c r="BB3" s="65"/>
      <c r="BC3" s="65"/>
      <c r="BD3" s="65"/>
      <c r="BE3" s="65"/>
      <c r="BF3" s="65"/>
    </row>
    <row r="4" spans="1:58" ht="15" customHeight="1">
      <c r="A4" s="73" t="s">
        <v>92</v>
      </c>
      <c r="B4" s="69"/>
      <c r="C4" s="69"/>
      <c r="D4" s="446">
        <f>Enter!E4</f>
        <v>28657</v>
      </c>
      <c r="E4" s="446"/>
      <c r="F4" s="446"/>
      <c r="G4" s="446"/>
      <c r="H4" s="446"/>
      <c r="I4" s="446"/>
      <c r="J4" s="69"/>
      <c r="K4" s="69" t="s">
        <v>179</v>
      </c>
      <c r="L4" s="69"/>
      <c r="M4" s="69"/>
      <c r="N4" s="478" t="str">
        <f>Enter!E9</f>
        <v>460XXXXXX2345</v>
      </c>
      <c r="O4" s="478"/>
      <c r="P4" s="478"/>
      <c r="Q4" s="478"/>
      <c r="R4" s="479"/>
      <c r="S4" s="65"/>
      <c r="T4" s="165">
        <v>2</v>
      </c>
      <c r="U4" s="485">
        <f>Enter!B41</f>
        <v>0</v>
      </c>
      <c r="V4" s="485"/>
      <c r="W4" s="485"/>
      <c r="X4" s="486"/>
      <c r="Y4" s="391"/>
      <c r="Z4" s="347"/>
      <c r="AA4" s="348"/>
      <c r="AB4" s="360">
        <f>Enter!I41</f>
        <v>3301</v>
      </c>
      <c r="AC4" s="361"/>
      <c r="AD4" s="361"/>
      <c r="AE4" s="361"/>
      <c r="AF4" s="159" t="s">
        <v>32</v>
      </c>
      <c r="AG4" s="179">
        <f>Enter!N41</f>
        <v>3</v>
      </c>
      <c r="AH4" s="364">
        <f>Enter!O41</f>
        <v>9903</v>
      </c>
      <c r="AI4" s="364"/>
      <c r="AJ4" s="364"/>
      <c r="AK4" s="364"/>
      <c r="AL4" s="364"/>
      <c r="AM4" s="364"/>
      <c r="AN4" s="364"/>
      <c r="AO4" s="365"/>
      <c r="AP4" s="62"/>
      <c r="AQ4" s="62"/>
      <c r="AR4" s="62"/>
      <c r="AS4" s="63"/>
      <c r="AT4" s="63"/>
      <c r="AU4" s="63"/>
      <c r="AV4" s="63"/>
      <c r="AW4" s="63"/>
      <c r="AX4" s="64"/>
      <c r="AY4" s="64"/>
      <c r="AZ4" s="65"/>
      <c r="BA4" s="65"/>
      <c r="BB4" s="65"/>
      <c r="BC4" s="65"/>
      <c r="BD4" s="65"/>
      <c r="BE4" s="65"/>
      <c r="BF4" s="65"/>
    </row>
    <row r="5" spans="1:58" ht="15" customHeight="1">
      <c r="A5" s="73" t="s">
        <v>93</v>
      </c>
      <c r="B5" s="69"/>
      <c r="C5" s="397" t="str">
        <f>Enter!E5</f>
        <v>GOVT HR SEC SCHOOL</v>
      </c>
      <c r="D5" s="397"/>
      <c r="E5" s="397"/>
      <c r="F5" s="397"/>
      <c r="G5" s="397"/>
      <c r="H5" s="397"/>
      <c r="I5" s="397"/>
      <c r="J5" s="69"/>
      <c r="K5" s="69"/>
      <c r="L5" s="69"/>
      <c r="M5" s="69"/>
      <c r="N5" s="425"/>
      <c r="O5" s="425"/>
      <c r="P5" s="425"/>
      <c r="Q5" s="425"/>
      <c r="R5" s="426"/>
      <c r="S5" s="65"/>
      <c r="T5" s="165">
        <v>3</v>
      </c>
      <c r="U5" s="485">
        <f>Enter!B42</f>
        <v>0</v>
      </c>
      <c r="V5" s="485"/>
      <c r="W5" s="485"/>
      <c r="X5" s="486"/>
      <c r="Y5" s="346"/>
      <c r="Z5" s="347"/>
      <c r="AA5" s="348"/>
      <c r="AB5" s="360">
        <f>Enter!I42</f>
        <v>1659</v>
      </c>
      <c r="AC5" s="361"/>
      <c r="AD5" s="361"/>
      <c r="AE5" s="361"/>
      <c r="AF5" s="159" t="s">
        <v>32</v>
      </c>
      <c r="AG5" s="179">
        <f>Enter!N42</f>
        <v>12</v>
      </c>
      <c r="AH5" s="364">
        <f>Enter!O42</f>
        <v>19908</v>
      </c>
      <c r="AI5" s="364"/>
      <c r="AJ5" s="364"/>
      <c r="AK5" s="364"/>
      <c r="AL5" s="364"/>
      <c r="AM5" s="364"/>
      <c r="AN5" s="364"/>
      <c r="AO5" s="365"/>
      <c r="AP5" s="62"/>
      <c r="AQ5" s="62"/>
      <c r="AR5" s="62"/>
      <c r="AS5" s="63"/>
      <c r="AT5" s="63"/>
      <c r="AU5" s="63"/>
      <c r="AV5" s="63"/>
      <c r="AW5" s="63"/>
      <c r="AX5" s="64"/>
      <c r="AY5" s="64"/>
      <c r="AZ5" s="65"/>
      <c r="BA5" s="65"/>
      <c r="BB5" s="65"/>
      <c r="BC5" s="65"/>
      <c r="BD5" s="65"/>
      <c r="BE5" s="65"/>
      <c r="BF5" s="65"/>
    </row>
    <row r="6" spans="1:58" ht="15" customHeight="1">
      <c r="A6" s="395" t="str">
        <f>Enter!E6</f>
        <v>T.MEDUPATTI, MADURAI</v>
      </c>
      <c r="B6" s="396"/>
      <c r="C6" s="396"/>
      <c r="D6" s="396"/>
      <c r="E6" s="396"/>
      <c r="F6" s="396"/>
      <c r="G6" s="396"/>
      <c r="H6" s="396"/>
      <c r="I6" s="396"/>
      <c r="J6" s="69"/>
      <c r="K6" s="69"/>
      <c r="L6" s="69"/>
      <c r="M6" s="69"/>
      <c r="N6" s="400"/>
      <c r="O6" s="400"/>
      <c r="P6" s="400"/>
      <c r="Q6" s="400"/>
      <c r="R6" s="401"/>
      <c r="S6" s="65"/>
      <c r="T6" s="165">
        <v>4</v>
      </c>
      <c r="U6" s="485">
        <f>Enter!B43</f>
        <v>0</v>
      </c>
      <c r="V6" s="485"/>
      <c r="W6" s="485"/>
      <c r="X6" s="486"/>
      <c r="Y6" s="346"/>
      <c r="Z6" s="347"/>
      <c r="AA6" s="348"/>
      <c r="AB6" s="360">
        <f>Enter!I43</f>
        <v>0</v>
      </c>
      <c r="AC6" s="361"/>
      <c r="AD6" s="361"/>
      <c r="AE6" s="361"/>
      <c r="AF6" s="159" t="s">
        <v>32</v>
      </c>
      <c r="AG6" s="179">
        <f>Enter!N43</f>
        <v>0</v>
      </c>
      <c r="AH6" s="364">
        <f>Enter!O43</f>
        <v>0</v>
      </c>
      <c r="AI6" s="364"/>
      <c r="AJ6" s="364"/>
      <c r="AK6" s="364"/>
      <c r="AL6" s="364"/>
      <c r="AM6" s="364"/>
      <c r="AN6" s="364"/>
      <c r="AO6" s="365"/>
      <c r="AP6" s="62"/>
      <c r="AQ6" s="62"/>
      <c r="AR6" s="62"/>
      <c r="AS6" s="63"/>
      <c r="AT6" s="63"/>
      <c r="AU6" s="63"/>
      <c r="AV6" s="63"/>
      <c r="AW6" s="63"/>
      <c r="AX6" s="64"/>
      <c r="AY6" s="64"/>
      <c r="AZ6" s="65"/>
      <c r="BA6" s="65"/>
      <c r="BB6" s="65"/>
      <c r="BC6" s="65"/>
      <c r="BD6" s="65"/>
      <c r="BE6" s="65"/>
      <c r="BF6" s="65"/>
    </row>
    <row r="7" spans="1:58" ht="14.1" customHeight="1">
      <c r="A7" s="74" t="s">
        <v>94</v>
      </c>
      <c r="B7" s="75"/>
      <c r="C7" s="75"/>
      <c r="D7" s="75"/>
      <c r="E7" s="75"/>
      <c r="F7" s="75"/>
      <c r="G7" s="75"/>
      <c r="H7" s="75"/>
      <c r="I7" s="366">
        <f>ROUND(SUM((I11+I13)/12),-2)+100</f>
        <v>12600</v>
      </c>
      <c r="J7" s="366"/>
      <c r="K7" s="367"/>
      <c r="L7" s="74"/>
      <c r="M7" s="75"/>
      <c r="N7" s="75"/>
      <c r="O7" s="76"/>
      <c r="P7" s="77" t="s">
        <v>39</v>
      </c>
      <c r="Q7" s="483">
        <f>AF49</f>
        <v>1044410</v>
      </c>
      <c r="R7" s="484"/>
      <c r="S7" s="78"/>
      <c r="T7" s="165">
        <v>5</v>
      </c>
      <c r="U7" s="485">
        <f>Enter!B44</f>
        <v>0</v>
      </c>
      <c r="V7" s="485"/>
      <c r="W7" s="485"/>
      <c r="X7" s="486"/>
      <c r="Y7" s="346"/>
      <c r="Z7" s="347"/>
      <c r="AA7" s="348"/>
      <c r="AB7" s="360">
        <f>Enter!I44</f>
        <v>0</v>
      </c>
      <c r="AC7" s="361"/>
      <c r="AD7" s="361"/>
      <c r="AE7" s="361"/>
      <c r="AF7" s="159" t="s">
        <v>32</v>
      </c>
      <c r="AG7" s="179">
        <f>Enter!N44</f>
        <v>0</v>
      </c>
      <c r="AH7" s="364">
        <f>Enter!O44</f>
        <v>0</v>
      </c>
      <c r="AI7" s="364"/>
      <c r="AJ7" s="364"/>
      <c r="AK7" s="364"/>
      <c r="AL7" s="364"/>
      <c r="AM7" s="364"/>
      <c r="AN7" s="364"/>
      <c r="AO7" s="365"/>
      <c r="AP7" s="62"/>
      <c r="AQ7" s="62"/>
      <c r="AR7" s="62"/>
      <c r="AS7" s="63"/>
      <c r="AT7" s="63"/>
      <c r="AU7" s="63"/>
      <c r="AV7" s="63"/>
      <c r="AW7" s="63"/>
      <c r="AX7" s="64"/>
      <c r="AY7" s="64"/>
      <c r="AZ7" s="65"/>
      <c r="BA7" s="65"/>
      <c r="BB7" s="65"/>
      <c r="BC7" s="65"/>
      <c r="BD7" s="65"/>
      <c r="BE7" s="65"/>
      <c r="BF7" s="65"/>
    </row>
    <row r="8" spans="1:58" ht="14.1" customHeight="1">
      <c r="A8" s="79"/>
      <c r="B8" s="58" t="s">
        <v>95</v>
      </c>
      <c r="I8" s="80"/>
      <c r="J8" s="80"/>
      <c r="K8" s="80"/>
      <c r="L8" s="79" t="s">
        <v>96</v>
      </c>
      <c r="M8" s="358">
        <v>50000</v>
      </c>
      <c r="N8" s="358"/>
      <c r="O8" s="359"/>
      <c r="P8" s="81" t="s">
        <v>39</v>
      </c>
      <c r="Q8" s="444">
        <f>Q7-M8</f>
        <v>994410</v>
      </c>
      <c r="R8" s="445"/>
      <c r="S8" s="78"/>
      <c r="T8" s="165">
        <v>6</v>
      </c>
      <c r="U8" s="485">
        <f>Enter!B45</f>
        <v>0</v>
      </c>
      <c r="V8" s="485"/>
      <c r="W8" s="485"/>
      <c r="X8" s="486"/>
      <c r="Y8" s="346"/>
      <c r="Z8" s="347"/>
      <c r="AA8" s="348"/>
      <c r="AB8" s="360">
        <f>Enter!I45</f>
        <v>0</v>
      </c>
      <c r="AC8" s="361"/>
      <c r="AD8" s="361"/>
      <c r="AE8" s="361"/>
      <c r="AF8" s="159" t="s">
        <v>32</v>
      </c>
      <c r="AG8" s="179">
        <f>Enter!N45</f>
        <v>0</v>
      </c>
      <c r="AH8" s="364">
        <f>Enter!O45</f>
        <v>0</v>
      </c>
      <c r="AI8" s="364"/>
      <c r="AJ8" s="364"/>
      <c r="AK8" s="364"/>
      <c r="AL8" s="364"/>
      <c r="AM8" s="364"/>
      <c r="AN8" s="364"/>
      <c r="AO8" s="365"/>
      <c r="AP8" s="62"/>
      <c r="AQ8" s="62"/>
      <c r="AR8" s="62"/>
      <c r="AS8" s="63"/>
      <c r="AT8" s="63"/>
      <c r="AU8" s="63"/>
      <c r="AV8" s="63"/>
      <c r="AW8" s="63"/>
      <c r="AX8" s="64"/>
      <c r="AY8" s="64"/>
      <c r="AZ8" s="65"/>
      <c r="BA8" s="65"/>
      <c r="BB8" s="65"/>
      <c r="BC8" s="65"/>
      <c r="BD8" s="65"/>
      <c r="BE8" s="65"/>
      <c r="BF8" s="65"/>
    </row>
    <row r="9" spans="1:58" ht="15.75" customHeight="1">
      <c r="A9" s="197" t="s">
        <v>97</v>
      </c>
      <c r="B9" s="198"/>
      <c r="C9" s="199"/>
      <c r="D9" s="199"/>
      <c r="E9" s="199"/>
      <c r="F9" s="199"/>
      <c r="L9" s="79"/>
      <c r="O9" s="60"/>
      <c r="R9" s="82"/>
      <c r="S9" s="65"/>
      <c r="T9" s="165"/>
      <c r="U9" s="362"/>
      <c r="V9" s="362"/>
      <c r="W9" s="362"/>
      <c r="X9" s="363"/>
      <c r="Y9" s="346"/>
      <c r="Z9" s="347"/>
      <c r="AA9" s="348"/>
      <c r="AB9" s="360"/>
      <c r="AC9" s="361"/>
      <c r="AD9" s="361"/>
      <c r="AE9" s="361"/>
      <c r="AF9" s="159"/>
      <c r="AG9" s="160"/>
      <c r="AH9" s="364"/>
      <c r="AI9" s="364"/>
      <c r="AJ9" s="364"/>
      <c r="AK9" s="364"/>
      <c r="AL9" s="364"/>
      <c r="AM9" s="364"/>
      <c r="AN9" s="364"/>
      <c r="AO9" s="365"/>
      <c r="AP9" s="62"/>
      <c r="AQ9" s="63" t="s">
        <v>98</v>
      </c>
      <c r="AR9" s="63"/>
      <c r="AS9" s="63"/>
      <c r="AT9" s="63"/>
      <c r="AU9" s="63"/>
      <c r="AV9" s="63"/>
      <c r="AW9" s="63"/>
      <c r="AX9" s="64"/>
      <c r="AY9" s="64"/>
      <c r="AZ9" s="65"/>
      <c r="BA9" s="65"/>
      <c r="BB9" s="65"/>
      <c r="BC9" s="65"/>
      <c r="BD9" s="65"/>
      <c r="BE9" s="65"/>
      <c r="BF9" s="65"/>
    </row>
    <row r="10" spans="1:58" ht="14.1" customHeight="1">
      <c r="A10" s="79" t="s">
        <v>99</v>
      </c>
      <c r="E10" s="83">
        <f>I7</f>
        <v>12600</v>
      </c>
      <c r="F10" s="81" t="s">
        <v>100</v>
      </c>
      <c r="G10" s="84" t="str">
        <f>AC16</f>
        <v>------</v>
      </c>
      <c r="H10" s="43" t="s">
        <v>39</v>
      </c>
      <c r="I10" s="344" t="str">
        <f>AT10</f>
        <v>OWN HOUSE</v>
      </c>
      <c r="J10" s="344"/>
      <c r="K10" s="345"/>
      <c r="L10" s="212"/>
      <c r="M10" s="213"/>
      <c r="N10" s="213"/>
      <c r="O10" s="214"/>
      <c r="P10" s="213"/>
      <c r="Q10" s="215"/>
      <c r="R10" s="216"/>
      <c r="S10" s="65"/>
      <c r="T10" s="165"/>
      <c r="U10" s="362"/>
      <c r="V10" s="362"/>
      <c r="W10" s="362"/>
      <c r="X10" s="363"/>
      <c r="Y10" s="346"/>
      <c r="Z10" s="347"/>
      <c r="AA10" s="348"/>
      <c r="AB10" s="360"/>
      <c r="AC10" s="361"/>
      <c r="AD10" s="361"/>
      <c r="AE10" s="361"/>
      <c r="AF10" s="159"/>
      <c r="AG10" s="160"/>
      <c r="AH10" s="364"/>
      <c r="AI10" s="364"/>
      <c r="AJ10" s="364"/>
      <c r="AK10" s="364"/>
      <c r="AL10" s="364"/>
      <c r="AM10" s="364"/>
      <c r="AN10" s="364"/>
      <c r="AO10" s="365"/>
      <c r="AP10" s="62"/>
      <c r="AQ10" s="63">
        <f>E10</f>
        <v>12600</v>
      </c>
      <c r="AR10" s="63" t="s">
        <v>101</v>
      </c>
      <c r="AS10" s="63">
        <f>IF(AQ10&gt;0,AQ10,IF(AQ10=0,"Nil"))</f>
        <v>12600</v>
      </c>
      <c r="AT10" s="85" t="str">
        <f>IF(I17&gt;0,"OWN HOUSE",IF(AS10&gt;0,AS10*12))</f>
        <v>OWN HOUSE</v>
      </c>
      <c r="AU10" s="63"/>
      <c r="AV10" s="63"/>
      <c r="AW10" s="63"/>
      <c r="AX10" s="64"/>
      <c r="AY10" s="64"/>
      <c r="AZ10" s="65"/>
      <c r="BA10" s="65"/>
      <c r="BB10" s="65"/>
      <c r="BC10" s="65"/>
      <c r="BD10" s="65"/>
      <c r="BE10" s="65"/>
      <c r="BF10" s="65"/>
    </row>
    <row r="11" spans="1:58" ht="14.1" customHeight="1">
      <c r="A11" s="79" t="s">
        <v>102</v>
      </c>
      <c r="F11" s="147">
        <f>U49+Y49</f>
        <v>989210</v>
      </c>
      <c r="G11" s="84"/>
      <c r="H11" s="43" t="s">
        <v>39</v>
      </c>
      <c r="I11" s="344">
        <f>ROUND(SUM(F11*0.1),0)</f>
        <v>98921</v>
      </c>
      <c r="J11" s="344"/>
      <c r="K11" s="345"/>
      <c r="L11" s="217"/>
      <c r="M11" s="218"/>
      <c r="N11" s="218"/>
      <c r="O11" s="219"/>
      <c r="P11" s="218"/>
      <c r="Q11" s="220"/>
      <c r="R11" s="221"/>
      <c r="S11" s="65"/>
      <c r="T11" s="86"/>
      <c r="U11" s="87"/>
      <c r="V11" s="87"/>
      <c r="W11" s="347"/>
      <c r="X11" s="348"/>
      <c r="Y11" s="346"/>
      <c r="Z11" s="347"/>
      <c r="AA11" s="348"/>
      <c r="AB11" s="360" t="s">
        <v>11</v>
      </c>
      <c r="AC11" s="361"/>
      <c r="AD11" s="361"/>
      <c r="AE11" s="361"/>
      <c r="AF11" s="361"/>
      <c r="AG11" s="394"/>
      <c r="AH11" s="364">
        <f>SUM(AH3:AN10)</f>
        <v>59319</v>
      </c>
      <c r="AI11" s="364"/>
      <c r="AJ11" s="364"/>
      <c r="AK11" s="364"/>
      <c r="AL11" s="364"/>
      <c r="AM11" s="364"/>
      <c r="AN11" s="364"/>
      <c r="AO11" s="365"/>
      <c r="AP11" s="62"/>
      <c r="AQ11" s="63"/>
      <c r="AR11" s="63" t="s">
        <v>103</v>
      </c>
      <c r="AS11" s="88">
        <f>IF(AQ10=0,"---",IF(AQ10&gt;0,(AQ11*10%)))</f>
        <v>0</v>
      </c>
      <c r="AT11" s="85">
        <f>IF(AQ10=0,"---",IF(AQ10&gt;0,ROUND(AS11,0)))</f>
        <v>0</v>
      </c>
      <c r="AU11" s="63"/>
      <c r="AV11" s="63"/>
      <c r="AW11" s="63"/>
      <c r="AX11" s="64"/>
      <c r="AY11" s="64"/>
      <c r="AZ11" s="65"/>
      <c r="BA11" s="65"/>
      <c r="BB11" s="65"/>
      <c r="BC11" s="65"/>
      <c r="BD11" s="65"/>
      <c r="BE11" s="65"/>
      <c r="BF11" s="65"/>
    </row>
    <row r="12" spans="1:58" ht="14.1" customHeight="1">
      <c r="A12" s="79" t="s">
        <v>104</v>
      </c>
      <c r="G12" s="84"/>
      <c r="H12" s="43" t="s">
        <v>39</v>
      </c>
      <c r="I12" s="368">
        <f>IF(I10="OWN HOUSE",(0),(SUM(I10-I11)))</f>
        <v>0</v>
      </c>
      <c r="J12" s="368"/>
      <c r="K12" s="369"/>
      <c r="L12" s="217"/>
      <c r="M12" s="218"/>
      <c r="N12" s="218"/>
      <c r="O12" s="219"/>
      <c r="P12" s="218"/>
      <c r="Q12" s="220"/>
      <c r="R12" s="221"/>
      <c r="S12" s="65"/>
      <c r="T12" s="392" t="s">
        <v>105</v>
      </c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3"/>
      <c r="AP12" s="62"/>
      <c r="AQ12" s="63"/>
      <c r="AR12" s="63" t="s">
        <v>106</v>
      </c>
      <c r="AS12" s="63"/>
      <c r="AT12" s="85" t="e">
        <f>IF(AQ10=0,"---",IF(AQ10&gt;0,(AT10-AT11)))</f>
        <v>#VALUE!</v>
      </c>
      <c r="AU12" s="63"/>
      <c r="AV12" s="63"/>
      <c r="AW12" s="63"/>
      <c r="AX12" s="64"/>
      <c r="AY12" s="64"/>
      <c r="AZ12" s="65"/>
      <c r="BA12" s="65"/>
      <c r="BB12" s="65"/>
      <c r="BC12" s="65"/>
      <c r="BD12" s="65"/>
      <c r="BE12" s="65"/>
      <c r="BF12" s="65"/>
    </row>
    <row r="13" spans="1:58" ht="14.1" customHeight="1">
      <c r="A13" s="79" t="s">
        <v>107</v>
      </c>
      <c r="G13" s="84"/>
      <c r="H13" s="43" t="s">
        <v>39</v>
      </c>
      <c r="I13" s="372">
        <f>AA49</f>
        <v>51600</v>
      </c>
      <c r="J13" s="372"/>
      <c r="K13" s="373"/>
      <c r="L13" s="217"/>
      <c r="M13" s="218"/>
      <c r="N13" s="218"/>
      <c r="O13" s="219"/>
      <c r="P13" s="218"/>
      <c r="Q13" s="220"/>
      <c r="R13" s="221"/>
      <c r="S13" s="65"/>
      <c r="T13" s="417" t="s">
        <v>35</v>
      </c>
      <c r="U13" s="418"/>
      <c r="V13" s="418"/>
      <c r="W13" s="418"/>
      <c r="X13" s="418"/>
      <c r="Y13" s="419"/>
      <c r="Z13" s="424" t="s">
        <v>36</v>
      </c>
      <c r="AA13" s="418"/>
      <c r="AB13" s="418"/>
      <c r="AC13" s="418"/>
      <c r="AD13" s="418"/>
      <c r="AE13" s="418"/>
      <c r="AF13" s="418"/>
      <c r="AG13" s="419"/>
      <c r="AH13" s="424" t="s">
        <v>37</v>
      </c>
      <c r="AI13" s="418"/>
      <c r="AJ13" s="418"/>
      <c r="AK13" s="419"/>
      <c r="AL13" s="364" t="s">
        <v>38</v>
      </c>
      <c r="AM13" s="364"/>
      <c r="AN13" s="364"/>
      <c r="AO13" s="365"/>
      <c r="AP13" s="62"/>
      <c r="AQ13" s="63"/>
      <c r="AR13" s="63" t="s">
        <v>108</v>
      </c>
      <c r="AS13" s="63"/>
      <c r="AT13" s="63"/>
      <c r="AU13" s="63"/>
      <c r="AV13" s="63"/>
      <c r="AW13" s="63"/>
      <c r="AX13" s="64"/>
      <c r="AY13" s="64"/>
      <c r="AZ13" s="65"/>
      <c r="BA13" s="65"/>
      <c r="BB13" s="65"/>
      <c r="BC13" s="65"/>
      <c r="BD13" s="65"/>
      <c r="BE13" s="65"/>
      <c r="BF13" s="65"/>
    </row>
    <row r="14" spans="1:58" ht="14.1" customHeight="1">
      <c r="A14" s="79" t="s">
        <v>109</v>
      </c>
      <c r="G14" s="84"/>
      <c r="H14" s="43" t="s">
        <v>39</v>
      </c>
      <c r="I14" s="411">
        <f>IF(I17&gt;1,(AV60),(I13))</f>
        <v>0</v>
      </c>
      <c r="J14" s="411"/>
      <c r="K14" s="412"/>
      <c r="L14" s="217"/>
      <c r="M14" s="218"/>
      <c r="N14" s="218"/>
      <c r="O14" s="219"/>
      <c r="P14" s="218"/>
      <c r="Q14" s="220"/>
      <c r="R14" s="221"/>
      <c r="S14" s="65"/>
      <c r="T14" s="420"/>
      <c r="U14" s="347"/>
      <c r="V14" s="347"/>
      <c r="W14" s="347"/>
      <c r="X14" s="347"/>
      <c r="Y14" s="348"/>
      <c r="Z14" s="346"/>
      <c r="AA14" s="347"/>
      <c r="AB14" s="347"/>
      <c r="AC14" s="347"/>
      <c r="AD14" s="347"/>
      <c r="AE14" s="347"/>
      <c r="AF14" s="347"/>
      <c r="AG14" s="348"/>
      <c r="AH14" s="346"/>
      <c r="AI14" s="347"/>
      <c r="AJ14" s="347"/>
      <c r="AK14" s="348"/>
      <c r="AL14" s="364"/>
      <c r="AM14" s="364"/>
      <c r="AN14" s="364"/>
      <c r="AO14" s="365"/>
      <c r="AP14" s="62"/>
      <c r="AQ14" s="63"/>
      <c r="AR14" s="63" t="s">
        <v>110</v>
      </c>
      <c r="AS14" s="63"/>
      <c r="AT14" s="85">
        <f>IF(AQ10=0,"---",IF(AQ10&gt;0,(AQ11*40%)))</f>
        <v>0</v>
      </c>
      <c r="AU14" s="63"/>
      <c r="AV14" s="63"/>
      <c r="AW14" s="63"/>
      <c r="AX14" s="64"/>
      <c r="AY14" s="64"/>
      <c r="AZ14" s="65"/>
      <c r="BA14" s="65"/>
      <c r="BB14" s="65"/>
      <c r="BC14" s="65"/>
      <c r="BD14" s="65"/>
      <c r="BE14" s="65"/>
      <c r="BF14" s="65"/>
    </row>
    <row r="15" spans="1:58" ht="14.1" customHeight="1">
      <c r="A15" s="89" t="s">
        <v>111</v>
      </c>
      <c r="B15" s="90"/>
      <c r="C15" s="90"/>
      <c r="D15" s="90"/>
      <c r="E15" s="90"/>
      <c r="F15" s="90"/>
      <c r="G15" s="91"/>
      <c r="H15" s="91"/>
      <c r="I15" s="222"/>
      <c r="J15" s="222"/>
      <c r="K15" s="222"/>
      <c r="L15" s="223"/>
      <c r="M15" s="222"/>
      <c r="N15" s="222"/>
      <c r="O15" s="224"/>
      <c r="P15" s="225" t="s">
        <v>39</v>
      </c>
      <c r="Q15" s="403">
        <f>Q8-I14</f>
        <v>994410</v>
      </c>
      <c r="R15" s="404"/>
      <c r="S15" s="78"/>
      <c r="T15" s="93" t="s">
        <v>112</v>
      </c>
      <c r="U15" s="94"/>
      <c r="V15" s="9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96"/>
      <c r="AM15" s="96"/>
      <c r="AN15" s="398"/>
      <c r="AO15" s="399"/>
      <c r="AP15" s="62"/>
      <c r="AQ15" s="63" t="s">
        <v>113</v>
      </c>
      <c r="AR15" s="63"/>
      <c r="AS15" s="63"/>
      <c r="AT15" s="63"/>
      <c r="AU15" s="85" t="e">
        <f>IF(AQ10=0,0,IF(AT12&gt;AT13,AT13,IF(AT12&lt;AT13,AT12)))</f>
        <v>#VALUE!</v>
      </c>
      <c r="AV15" s="63"/>
      <c r="AW15" s="63"/>
      <c r="AX15" s="64"/>
      <c r="AY15" s="64"/>
      <c r="AZ15" s="65"/>
      <c r="BA15" s="65"/>
      <c r="BB15" s="65"/>
      <c r="BC15" s="65"/>
      <c r="BD15" s="65"/>
      <c r="BE15" s="65"/>
      <c r="BF15" s="65"/>
    </row>
    <row r="16" spans="1:58" ht="12.95" customHeight="1">
      <c r="A16" s="79" t="s">
        <v>114</v>
      </c>
      <c r="G16" s="84"/>
      <c r="H16" s="43" t="s">
        <v>39</v>
      </c>
      <c r="I16" s="405">
        <f>AM49</f>
        <v>2500</v>
      </c>
      <c r="J16" s="405"/>
      <c r="K16" s="406"/>
      <c r="L16" s="217"/>
      <c r="M16" s="218"/>
      <c r="N16" s="218"/>
      <c r="O16" s="219"/>
      <c r="P16" s="218"/>
      <c r="Q16" s="220"/>
      <c r="R16" s="221"/>
      <c r="S16" s="65"/>
      <c r="T16" s="93" t="s">
        <v>115</v>
      </c>
      <c r="U16" s="94"/>
      <c r="V16" s="94"/>
      <c r="W16" s="164"/>
      <c r="X16" s="164"/>
      <c r="Y16" s="164"/>
      <c r="Z16" s="164"/>
      <c r="AA16" s="164"/>
      <c r="AB16" s="96"/>
      <c r="AC16" s="354" t="str">
        <f>IF(I10="OWN HOUSE",("------"),IF(AQ16&gt;0,(AQ16)))</f>
        <v>------</v>
      </c>
      <c r="AD16" s="354"/>
      <c r="AE16" s="354"/>
      <c r="AF16" s="164"/>
      <c r="AG16" s="96"/>
      <c r="AH16" s="164"/>
      <c r="AI16" s="96"/>
      <c r="AJ16" s="164"/>
      <c r="AK16" s="164"/>
      <c r="AL16" s="96"/>
      <c r="AM16" s="96"/>
      <c r="AN16" s="352"/>
      <c r="AO16" s="353"/>
      <c r="AP16" s="62"/>
      <c r="AQ16" s="62">
        <f>E10</f>
        <v>12600</v>
      </c>
      <c r="AR16" s="62"/>
      <c r="AS16" s="63"/>
      <c r="AT16" s="63"/>
      <c r="AU16" s="63"/>
      <c r="AV16" s="63"/>
      <c r="AW16" s="63"/>
      <c r="AX16" s="64"/>
      <c r="AY16" s="64"/>
      <c r="AZ16" s="65"/>
      <c r="BA16" s="65"/>
      <c r="BB16" s="65"/>
      <c r="BC16" s="65"/>
      <c r="BD16" s="65"/>
      <c r="BE16" s="65"/>
      <c r="BF16" s="65"/>
    </row>
    <row r="17" spans="1:58" ht="12.95" customHeight="1">
      <c r="A17" s="79" t="s">
        <v>116</v>
      </c>
      <c r="G17" s="84"/>
      <c r="H17" s="43" t="s">
        <v>39</v>
      </c>
      <c r="I17" s="372">
        <f>Enter!H54</f>
        <v>200000</v>
      </c>
      <c r="J17" s="372"/>
      <c r="K17" s="373"/>
      <c r="L17" s="217"/>
      <c r="M17" s="218"/>
      <c r="N17" s="218"/>
      <c r="O17" s="219"/>
      <c r="P17" s="218"/>
      <c r="Q17" s="220"/>
      <c r="R17" s="221"/>
      <c r="S17" s="65"/>
      <c r="T17" s="93" t="s">
        <v>117</v>
      </c>
      <c r="U17" s="94"/>
      <c r="V17" s="94"/>
      <c r="W17" s="164"/>
      <c r="X17" s="164"/>
      <c r="Y17" s="97">
        <f>IF(AQ17=0,("------"),IF(AQ17&gt;0,(AQ17)))</f>
        <v>59319</v>
      </c>
      <c r="Z17" s="94" t="s">
        <v>118</v>
      </c>
      <c r="AA17" s="164"/>
      <c r="AB17" s="94"/>
      <c r="AC17" s="94"/>
      <c r="AD17" s="94"/>
      <c r="AE17" s="96"/>
      <c r="AF17" s="164"/>
      <c r="AG17" s="164"/>
      <c r="AH17" s="164"/>
      <c r="AI17" s="164"/>
      <c r="AJ17" s="164"/>
      <c r="AK17" s="164"/>
      <c r="AL17" s="164"/>
      <c r="AM17" s="96"/>
      <c r="AN17" s="352"/>
      <c r="AO17" s="353"/>
      <c r="AP17" s="62"/>
      <c r="AQ17" s="62">
        <f>AH11</f>
        <v>59319</v>
      </c>
      <c r="AR17" s="62"/>
      <c r="AS17" s="63"/>
      <c r="AT17" s="63"/>
      <c r="AU17" s="63"/>
      <c r="AV17" s="63"/>
      <c r="AW17" s="63"/>
      <c r="AX17" s="64"/>
      <c r="AY17" s="64"/>
      <c r="AZ17" s="65"/>
      <c r="BA17" s="65"/>
      <c r="BB17" s="65"/>
      <c r="BC17" s="65"/>
      <c r="BD17" s="65"/>
      <c r="BE17" s="65"/>
      <c r="BF17" s="65"/>
    </row>
    <row r="18" spans="1:58" ht="12.95" customHeight="1">
      <c r="A18" s="79" t="s">
        <v>119</v>
      </c>
      <c r="G18" s="84"/>
      <c r="H18" s="84"/>
      <c r="I18" s="378">
        <f>SUM(I16:I17)</f>
        <v>202500</v>
      </c>
      <c r="J18" s="378"/>
      <c r="K18" s="379"/>
      <c r="L18" s="217" t="s">
        <v>120</v>
      </c>
      <c r="M18" s="467">
        <f>AT34</f>
        <v>202500</v>
      </c>
      <c r="N18" s="467"/>
      <c r="O18" s="468"/>
      <c r="P18" s="218" t="s">
        <v>39</v>
      </c>
      <c r="Q18" s="403">
        <f>Q15-M18</f>
        <v>791910</v>
      </c>
      <c r="R18" s="404"/>
      <c r="S18" s="78"/>
      <c r="T18" s="93" t="s">
        <v>121</v>
      </c>
      <c r="U18" s="96"/>
      <c r="V18" s="96"/>
      <c r="W18" s="96"/>
      <c r="X18" s="96"/>
      <c r="Y18" s="97" t="str">
        <f>IF(AQ18=0,("------"),IF(AQ18&gt;0,(AQ18)))</f>
        <v>------</v>
      </c>
      <c r="Z18" s="94" t="s">
        <v>122</v>
      </c>
      <c r="AA18" s="96"/>
      <c r="AB18" s="96"/>
      <c r="AC18" s="96"/>
      <c r="AD18" s="96"/>
      <c r="AE18" s="96"/>
      <c r="AF18" s="164"/>
      <c r="AG18" s="96"/>
      <c r="AH18" s="96"/>
      <c r="AI18" s="96"/>
      <c r="AJ18" s="96"/>
      <c r="AK18" s="96"/>
      <c r="AL18" s="164"/>
      <c r="AM18" s="96"/>
      <c r="AN18" s="352"/>
      <c r="AO18" s="353"/>
      <c r="AP18" s="63"/>
      <c r="AQ18" s="63">
        <f>I37</f>
        <v>0</v>
      </c>
      <c r="AR18" s="63"/>
      <c r="AS18" s="63"/>
      <c r="AT18" s="63"/>
      <c r="AU18" s="63"/>
      <c r="AV18" s="63"/>
      <c r="AW18" s="63"/>
      <c r="AX18" s="64"/>
      <c r="AY18" s="64"/>
      <c r="AZ18" s="65"/>
      <c r="BA18" s="65"/>
      <c r="BB18" s="65"/>
      <c r="BC18" s="65"/>
      <c r="BD18" s="65"/>
      <c r="BE18" s="65"/>
      <c r="BF18" s="65"/>
    </row>
    <row r="19" spans="1:58" ht="12.95" customHeight="1">
      <c r="A19" s="74" t="s">
        <v>123</v>
      </c>
      <c r="B19" s="75"/>
      <c r="C19" s="75"/>
      <c r="D19" s="75"/>
      <c r="E19" s="75"/>
      <c r="F19" s="75"/>
      <c r="G19" s="98"/>
      <c r="H19" s="99" t="s">
        <v>39</v>
      </c>
      <c r="I19" s="385">
        <f>Enter!S50</f>
        <v>0</v>
      </c>
      <c r="J19" s="385"/>
      <c r="K19" s="386"/>
      <c r="L19" s="226"/>
      <c r="M19" s="227"/>
      <c r="N19" s="227"/>
      <c r="O19" s="228"/>
      <c r="P19" s="229"/>
      <c r="Q19" s="229"/>
      <c r="R19" s="230"/>
      <c r="S19" s="78"/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164"/>
      <c r="AG19" s="96"/>
      <c r="AH19" s="96"/>
      <c r="AI19" s="96"/>
      <c r="AJ19" s="96"/>
      <c r="AK19" s="96"/>
      <c r="AL19" s="164"/>
      <c r="AM19" s="96"/>
      <c r="AN19" s="352"/>
      <c r="AO19" s="353"/>
      <c r="AP19" s="63"/>
      <c r="AQ19" s="63"/>
      <c r="AR19" s="63"/>
      <c r="AS19" s="63"/>
      <c r="AT19" s="63"/>
      <c r="AU19" s="63"/>
      <c r="AV19" s="63"/>
      <c r="AW19" s="63"/>
      <c r="AX19" s="64"/>
      <c r="AY19" s="64"/>
      <c r="AZ19" s="65"/>
      <c r="BA19" s="65"/>
      <c r="BB19" s="65"/>
      <c r="BC19" s="65"/>
      <c r="BD19" s="65"/>
      <c r="BE19" s="65"/>
      <c r="BF19" s="65"/>
    </row>
    <row r="20" spans="1:58" ht="12.95" customHeight="1">
      <c r="A20" s="79"/>
      <c r="C20" s="58" t="s">
        <v>124</v>
      </c>
      <c r="G20" s="84"/>
      <c r="H20" s="43" t="s">
        <v>39</v>
      </c>
      <c r="I20" s="350">
        <f>Enter!H52</f>
        <v>0</v>
      </c>
      <c r="J20" s="350"/>
      <c r="K20" s="351"/>
      <c r="L20" s="217"/>
      <c r="M20" s="220"/>
      <c r="N20" s="220"/>
      <c r="O20" s="231"/>
      <c r="P20" s="218"/>
      <c r="Q20" s="218"/>
      <c r="R20" s="232"/>
      <c r="S20" s="78"/>
      <c r="T20" s="93"/>
      <c r="U20" s="96"/>
      <c r="V20" s="96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402" t="s">
        <v>125</v>
      </c>
      <c r="AI20" s="402"/>
      <c r="AJ20" s="402"/>
      <c r="AK20" s="402"/>
      <c r="AL20" s="402"/>
      <c r="AM20" s="402"/>
      <c r="AN20" s="402"/>
      <c r="AO20" s="353"/>
      <c r="AP20" s="63"/>
      <c r="AQ20" s="63"/>
      <c r="AR20" s="63"/>
      <c r="AS20" s="63"/>
      <c r="AT20" s="63"/>
      <c r="AU20" s="63"/>
      <c r="AV20" s="63"/>
      <c r="AW20" s="63"/>
      <c r="AX20" s="64"/>
      <c r="AY20" s="64"/>
      <c r="AZ20" s="65"/>
      <c r="BA20" s="65"/>
      <c r="BB20" s="65"/>
      <c r="BC20" s="65"/>
      <c r="BD20" s="65"/>
      <c r="BE20" s="65"/>
      <c r="BF20" s="65"/>
    </row>
    <row r="21" spans="1:58" ht="12.95" customHeight="1">
      <c r="A21" s="89" t="s">
        <v>126</v>
      </c>
      <c r="B21" s="90"/>
      <c r="C21" s="90"/>
      <c r="D21" s="90"/>
      <c r="E21" s="90"/>
      <c r="F21" s="90"/>
      <c r="G21" s="91"/>
      <c r="H21" s="92" t="s">
        <v>39</v>
      </c>
      <c r="I21" s="435">
        <f>SUM(I19:I20)</f>
        <v>0</v>
      </c>
      <c r="J21" s="435"/>
      <c r="K21" s="436"/>
      <c r="L21" s="349"/>
      <c r="M21" s="350"/>
      <c r="N21" s="350"/>
      <c r="O21" s="351"/>
      <c r="P21" s="233" t="s">
        <v>39</v>
      </c>
      <c r="Q21" s="403">
        <f>Q18+I21</f>
        <v>791910</v>
      </c>
      <c r="R21" s="404"/>
      <c r="S21" s="78"/>
      <c r="T21" s="93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164"/>
      <c r="AG21" s="96"/>
      <c r="AH21" s="96"/>
      <c r="AI21" s="96"/>
      <c r="AJ21" s="96"/>
      <c r="AK21" s="96"/>
      <c r="AL21" s="96"/>
      <c r="AM21" s="164"/>
      <c r="AN21" s="352"/>
      <c r="AO21" s="353"/>
      <c r="AP21" s="63"/>
      <c r="AQ21" s="63"/>
      <c r="AR21" s="63"/>
      <c r="AS21" s="63"/>
      <c r="AT21" s="63"/>
      <c r="AU21" s="63"/>
      <c r="AV21" s="63"/>
      <c r="AW21" s="63"/>
      <c r="AX21" s="64"/>
      <c r="AY21" s="64"/>
      <c r="AZ21" s="65"/>
      <c r="BA21" s="65"/>
      <c r="BB21" s="65"/>
      <c r="BC21" s="65"/>
      <c r="BD21" s="65"/>
      <c r="BE21" s="65"/>
      <c r="BF21" s="65"/>
    </row>
    <row r="22" spans="1:58" ht="12.95" customHeight="1">
      <c r="A22" s="79" t="s">
        <v>127</v>
      </c>
      <c r="G22" s="84"/>
      <c r="H22" s="84"/>
      <c r="I22" s="220"/>
      <c r="J22" s="220"/>
      <c r="K22" s="220"/>
      <c r="L22" s="217"/>
      <c r="M22" s="220"/>
      <c r="N22" s="220"/>
      <c r="O22" s="231"/>
      <c r="P22" s="220"/>
      <c r="Q22" s="220"/>
      <c r="R22" s="221"/>
      <c r="S22" s="65"/>
      <c r="T22" s="100"/>
      <c r="U22" s="96"/>
      <c r="V22" s="96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94"/>
      <c r="AL22" s="96"/>
      <c r="AM22" s="164"/>
      <c r="AN22" s="383"/>
      <c r="AO22" s="384"/>
      <c r="AP22" s="63"/>
      <c r="AQ22" s="63"/>
      <c r="AR22" s="63"/>
      <c r="AS22" s="63"/>
      <c r="AT22" s="63"/>
      <c r="AU22" s="63"/>
      <c r="AV22" s="63"/>
      <c r="AW22" s="63"/>
      <c r="AX22" s="64"/>
      <c r="AY22" s="64"/>
      <c r="AZ22" s="65"/>
      <c r="BA22" s="65"/>
      <c r="BB22" s="65"/>
      <c r="BC22" s="65"/>
      <c r="BD22" s="65"/>
      <c r="BE22" s="65"/>
      <c r="BF22" s="65"/>
    </row>
    <row r="23" spans="1:58" ht="12.95" customHeight="1">
      <c r="A23" s="54" t="s">
        <v>128</v>
      </c>
      <c r="B23" s="101"/>
      <c r="G23" s="84"/>
      <c r="H23" s="43" t="s">
        <v>39</v>
      </c>
      <c r="I23" s="381">
        <f>Enter!I57</f>
        <v>0</v>
      </c>
      <c r="J23" s="381"/>
      <c r="K23" s="382"/>
      <c r="L23" s="217"/>
      <c r="M23" s="220"/>
      <c r="N23" s="220"/>
      <c r="O23" s="231"/>
      <c r="P23" s="220"/>
      <c r="Q23" s="220"/>
      <c r="R23" s="221"/>
      <c r="S23" s="65"/>
      <c r="T23" s="355" t="s">
        <v>212</v>
      </c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7"/>
      <c r="AP23" s="63"/>
      <c r="AQ23" s="63"/>
      <c r="AR23" s="63"/>
      <c r="AS23" s="63"/>
      <c r="AT23" s="63"/>
      <c r="AU23" s="63"/>
      <c r="AV23" s="63"/>
      <c r="AW23" s="63"/>
      <c r="AX23" s="64"/>
      <c r="AY23" s="64"/>
      <c r="AZ23" s="65"/>
      <c r="BA23" s="65"/>
      <c r="BB23" s="65"/>
      <c r="BC23" s="65"/>
      <c r="BD23" s="65"/>
      <c r="BE23" s="65"/>
      <c r="BF23" s="65"/>
    </row>
    <row r="24" spans="1:58" ht="12.95" customHeight="1">
      <c r="A24" s="389" t="s">
        <v>129</v>
      </c>
      <c r="B24" s="390"/>
      <c r="C24" s="390"/>
      <c r="D24" s="390"/>
      <c r="E24" s="390"/>
      <c r="F24" s="390"/>
      <c r="G24" s="390"/>
      <c r="H24" s="43" t="s">
        <v>39</v>
      </c>
      <c r="I24" s="381">
        <f>Enter!I58</f>
        <v>0</v>
      </c>
      <c r="J24" s="381"/>
      <c r="K24" s="382"/>
      <c r="L24" s="217"/>
      <c r="M24" s="220"/>
      <c r="N24" s="220"/>
      <c r="O24" s="231"/>
      <c r="P24" s="220"/>
      <c r="Q24" s="220"/>
      <c r="R24" s="221"/>
      <c r="S24" s="65"/>
      <c r="T24" s="355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7"/>
      <c r="AP24" s="63"/>
      <c r="AQ24" s="63"/>
      <c r="AR24" s="63"/>
      <c r="AS24" s="63"/>
      <c r="AT24" s="63"/>
      <c r="AU24" s="63"/>
      <c r="AV24" s="63"/>
      <c r="AW24" s="63"/>
      <c r="AX24" s="64"/>
      <c r="AY24" s="64"/>
      <c r="AZ24" s="65"/>
      <c r="BA24" s="65"/>
      <c r="BB24" s="65"/>
      <c r="BC24" s="65"/>
      <c r="BD24" s="65"/>
      <c r="BE24" s="65"/>
      <c r="BF24" s="65"/>
    </row>
    <row r="25" spans="1:58" ht="12.95" customHeight="1">
      <c r="A25" s="54" t="s">
        <v>130</v>
      </c>
      <c r="B25" s="101"/>
      <c r="G25" s="84"/>
      <c r="H25" s="43" t="s">
        <v>39</v>
      </c>
      <c r="I25" s="381">
        <f>Enter!I59</f>
        <v>0</v>
      </c>
      <c r="J25" s="381"/>
      <c r="K25" s="382"/>
      <c r="L25" s="217"/>
      <c r="M25" s="220"/>
      <c r="N25" s="220"/>
      <c r="O25" s="231"/>
      <c r="P25" s="220"/>
      <c r="Q25" s="220"/>
      <c r="R25" s="221"/>
      <c r="S25" s="65"/>
      <c r="T25" s="387" t="s">
        <v>0</v>
      </c>
      <c r="U25" s="469" t="s">
        <v>1</v>
      </c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1"/>
      <c r="AG25" s="421" t="s">
        <v>2</v>
      </c>
      <c r="AH25" s="422"/>
      <c r="AI25" s="422"/>
      <c r="AJ25" s="422"/>
      <c r="AK25" s="422"/>
      <c r="AL25" s="422"/>
      <c r="AM25" s="422"/>
      <c r="AN25" s="422"/>
      <c r="AO25" s="423"/>
      <c r="AP25" s="63"/>
      <c r="AQ25" s="63"/>
      <c r="AR25" s="63"/>
      <c r="AS25" s="63"/>
      <c r="AT25" s="63"/>
      <c r="AU25" s="63"/>
      <c r="AV25" s="63"/>
      <c r="AW25" s="63"/>
      <c r="AX25" s="64"/>
      <c r="AY25" s="64"/>
      <c r="AZ25" s="65"/>
      <c r="BA25" s="65"/>
      <c r="BB25" s="65"/>
      <c r="BC25" s="65"/>
      <c r="BD25" s="65"/>
      <c r="BE25" s="65"/>
      <c r="BF25" s="65"/>
    </row>
    <row r="26" spans="1:58" ht="12.95" customHeight="1">
      <c r="A26" s="54" t="s">
        <v>131</v>
      </c>
      <c r="B26" s="101"/>
      <c r="G26" s="84"/>
      <c r="H26" s="43" t="s">
        <v>39</v>
      </c>
      <c r="I26" s="381">
        <f>AK49</f>
        <v>0</v>
      </c>
      <c r="J26" s="381"/>
      <c r="K26" s="382"/>
      <c r="L26" s="217"/>
      <c r="M26" s="220"/>
      <c r="N26" s="220"/>
      <c r="O26" s="231"/>
      <c r="P26" s="220"/>
      <c r="Q26" s="220"/>
      <c r="R26" s="221"/>
      <c r="S26" s="65"/>
      <c r="T26" s="387"/>
      <c r="U26" s="461" t="s">
        <v>3</v>
      </c>
      <c r="V26" s="462"/>
      <c r="W26" s="462"/>
      <c r="X26" s="463"/>
      <c r="Y26" s="377" t="s">
        <v>4</v>
      </c>
      <c r="Z26" s="377" t="s">
        <v>5</v>
      </c>
      <c r="AA26" s="377" t="s">
        <v>6</v>
      </c>
      <c r="AB26" s="377" t="s">
        <v>7</v>
      </c>
      <c r="AC26" s="377" t="s">
        <v>8</v>
      </c>
      <c r="AD26" s="377" t="s">
        <v>9</v>
      </c>
      <c r="AE26" s="377" t="s">
        <v>10</v>
      </c>
      <c r="AF26" s="474" t="s">
        <v>11</v>
      </c>
      <c r="AG26" s="387" t="s">
        <v>12</v>
      </c>
      <c r="AH26" s="370" t="s">
        <v>180</v>
      </c>
      <c r="AI26" s="370" t="s">
        <v>14</v>
      </c>
      <c r="AJ26" s="370" t="s">
        <v>15</v>
      </c>
      <c r="AK26" s="370" t="s">
        <v>16</v>
      </c>
      <c r="AL26" s="370" t="s">
        <v>17</v>
      </c>
      <c r="AM26" s="370" t="s">
        <v>18</v>
      </c>
      <c r="AN26" s="476" t="s">
        <v>132</v>
      </c>
      <c r="AO26" s="472" t="s">
        <v>133</v>
      </c>
      <c r="AP26" s="63"/>
      <c r="AQ26" s="63"/>
      <c r="AR26" s="63"/>
      <c r="AS26" s="63"/>
      <c r="AT26" s="63"/>
      <c r="AU26" s="63"/>
      <c r="AV26" s="63"/>
      <c r="AW26" s="63"/>
      <c r="AX26" s="64"/>
      <c r="AY26" s="64"/>
      <c r="AZ26" s="65"/>
      <c r="BA26" s="65"/>
      <c r="BB26" s="65"/>
      <c r="BC26" s="65"/>
      <c r="BD26" s="65"/>
      <c r="BE26" s="65"/>
      <c r="BF26" s="65"/>
    </row>
    <row r="27" spans="1:58" ht="12.95" customHeight="1">
      <c r="A27" s="54" t="s">
        <v>134</v>
      </c>
      <c r="B27" s="101"/>
      <c r="E27" s="58" t="s">
        <v>46</v>
      </c>
      <c r="G27" s="84"/>
      <c r="H27" s="43" t="s">
        <v>39</v>
      </c>
      <c r="I27" s="381">
        <f>Enter!I60</f>
        <v>0</v>
      </c>
      <c r="J27" s="381"/>
      <c r="K27" s="382"/>
      <c r="L27" s="217"/>
      <c r="M27" s="220"/>
      <c r="N27" s="220"/>
      <c r="O27" s="231"/>
      <c r="P27" s="220"/>
      <c r="Q27" s="218"/>
      <c r="R27" s="221"/>
      <c r="S27" s="65"/>
      <c r="T27" s="388"/>
      <c r="U27" s="464"/>
      <c r="V27" s="465"/>
      <c r="W27" s="465"/>
      <c r="X27" s="466"/>
      <c r="Y27" s="371"/>
      <c r="Z27" s="371"/>
      <c r="AA27" s="371"/>
      <c r="AB27" s="371"/>
      <c r="AC27" s="371"/>
      <c r="AD27" s="371"/>
      <c r="AE27" s="371"/>
      <c r="AF27" s="475"/>
      <c r="AG27" s="388"/>
      <c r="AH27" s="371"/>
      <c r="AI27" s="371"/>
      <c r="AJ27" s="371"/>
      <c r="AK27" s="371"/>
      <c r="AL27" s="371"/>
      <c r="AM27" s="371"/>
      <c r="AN27" s="477"/>
      <c r="AO27" s="473"/>
      <c r="AP27" s="63"/>
      <c r="AQ27" s="63"/>
      <c r="AR27" s="63"/>
      <c r="AS27" s="63"/>
      <c r="AT27" s="63"/>
      <c r="AU27" s="63"/>
      <c r="AV27" s="63"/>
      <c r="AW27" s="63"/>
      <c r="AX27" s="64"/>
      <c r="AY27" s="64"/>
      <c r="AZ27" s="65"/>
      <c r="BA27" s="65"/>
      <c r="BB27" s="65"/>
      <c r="BC27" s="65"/>
      <c r="BD27" s="65"/>
      <c r="BE27" s="65"/>
      <c r="BF27" s="65"/>
    </row>
    <row r="28" spans="1:58" ht="12.95" customHeight="1">
      <c r="A28" s="54" t="s">
        <v>135</v>
      </c>
      <c r="B28" s="101"/>
      <c r="F28" s="58" t="s">
        <v>136</v>
      </c>
      <c r="G28" s="84"/>
      <c r="H28" s="43" t="s">
        <v>39</v>
      </c>
      <c r="I28" s="381">
        <f>Enter!I61</f>
        <v>0</v>
      </c>
      <c r="J28" s="381"/>
      <c r="K28" s="382"/>
      <c r="L28" s="234" t="s">
        <v>39</v>
      </c>
      <c r="M28" s="368">
        <f>AT36</f>
        <v>0</v>
      </c>
      <c r="N28" s="368"/>
      <c r="O28" s="369"/>
      <c r="P28" s="233" t="s">
        <v>39</v>
      </c>
      <c r="Q28" s="372">
        <f>Q21-M28</f>
        <v>791910</v>
      </c>
      <c r="R28" s="380"/>
      <c r="S28" s="78"/>
      <c r="T28" s="157">
        <v>45352</v>
      </c>
      <c r="U28" s="374">
        <f>Enter!B15</f>
        <v>54100</v>
      </c>
      <c r="V28" s="375"/>
      <c r="W28" s="375"/>
      <c r="X28" s="376"/>
      <c r="Y28" s="102">
        <f>Enter!F15</f>
        <v>24886</v>
      </c>
      <c r="Z28" s="102">
        <f>Enter!G15</f>
        <v>0</v>
      </c>
      <c r="AA28" s="102">
        <f>Enter!H15</f>
        <v>4300</v>
      </c>
      <c r="AB28" s="102">
        <f>Enter!I15</f>
        <v>0</v>
      </c>
      <c r="AC28" s="102">
        <f>Enter!J15</f>
        <v>0</v>
      </c>
      <c r="AD28" s="102">
        <f>Enter!K15</f>
        <v>0</v>
      </c>
      <c r="AE28" s="102">
        <f>Enter!L15</f>
        <v>300</v>
      </c>
      <c r="AF28" s="102">
        <f>Enter!M15</f>
        <v>83586</v>
      </c>
      <c r="AG28" s="102">
        <f>Enter!N15</f>
        <v>7899</v>
      </c>
      <c r="AH28" s="102"/>
      <c r="AI28" s="102">
        <f>Enter!P15</f>
        <v>110</v>
      </c>
      <c r="AJ28" s="102">
        <f>Enter!Q15</f>
        <v>70</v>
      </c>
      <c r="AK28" s="102">
        <f>Enter!R15</f>
        <v>0</v>
      </c>
      <c r="AL28" s="102">
        <v>0</v>
      </c>
      <c r="AM28" s="102"/>
      <c r="AN28" s="102">
        <f>Enter!U15</f>
        <v>0</v>
      </c>
      <c r="AO28" s="203">
        <f>Enter!V15</f>
        <v>0</v>
      </c>
      <c r="AP28" s="63"/>
      <c r="AQ28" s="63"/>
      <c r="AR28" s="63"/>
      <c r="AS28" s="63"/>
      <c r="AT28" s="63"/>
      <c r="AU28" s="63"/>
      <c r="AV28" s="63"/>
      <c r="AW28" s="63"/>
      <c r="AX28" s="64"/>
      <c r="AY28" s="64"/>
      <c r="AZ28" s="65"/>
      <c r="BA28" s="65"/>
      <c r="BB28" s="65"/>
      <c r="BC28" s="65"/>
      <c r="BD28" s="65"/>
      <c r="BE28" s="65"/>
      <c r="BF28" s="65"/>
    </row>
    <row r="29" spans="1:58" ht="12.95" customHeight="1">
      <c r="A29" s="79" t="s">
        <v>137</v>
      </c>
      <c r="G29" s="84"/>
      <c r="H29" s="43" t="s">
        <v>39</v>
      </c>
      <c r="I29" s="368">
        <f>SUM(I23:I28)</f>
        <v>0</v>
      </c>
      <c r="J29" s="368"/>
      <c r="K29" s="369"/>
      <c r="L29" s="217"/>
      <c r="M29" s="220"/>
      <c r="N29" s="220"/>
      <c r="O29" s="231"/>
      <c r="P29" s="220"/>
      <c r="Q29" s="220"/>
      <c r="R29" s="221"/>
      <c r="S29" s="65"/>
      <c r="T29" s="157">
        <v>45383</v>
      </c>
      <c r="U29" s="374">
        <f>Enter!B16</f>
        <v>54100</v>
      </c>
      <c r="V29" s="375"/>
      <c r="W29" s="375"/>
      <c r="X29" s="376"/>
      <c r="Y29" s="102">
        <f>Enter!F16</f>
        <v>27050</v>
      </c>
      <c r="Z29" s="102">
        <f>Enter!G16</f>
        <v>0</v>
      </c>
      <c r="AA29" s="102">
        <f>Enter!H16</f>
        <v>4300</v>
      </c>
      <c r="AB29" s="102">
        <f>Enter!I16</f>
        <v>0</v>
      </c>
      <c r="AC29" s="102">
        <f>Enter!J16</f>
        <v>0</v>
      </c>
      <c r="AD29" s="102">
        <f>Enter!K16</f>
        <v>0</v>
      </c>
      <c r="AE29" s="102">
        <f>Enter!L16</f>
        <v>300</v>
      </c>
      <c r="AF29" s="102">
        <f>Enter!M16</f>
        <v>85750</v>
      </c>
      <c r="AG29" s="102">
        <f>Enter!N16</f>
        <v>8115</v>
      </c>
      <c r="AH29" s="102"/>
      <c r="AI29" s="102">
        <f>Enter!P16</f>
        <v>110</v>
      </c>
      <c r="AJ29" s="102">
        <f>Enter!Q16</f>
        <v>70</v>
      </c>
      <c r="AK29" s="102">
        <f>Enter!R16</f>
        <v>0</v>
      </c>
      <c r="AL29" s="102">
        <f>Enter!S16</f>
        <v>0</v>
      </c>
      <c r="AM29" s="102"/>
      <c r="AN29" s="102">
        <f>Enter!U16</f>
        <v>5227</v>
      </c>
      <c r="AO29" s="203">
        <f>Enter!V16</f>
        <v>209</v>
      </c>
      <c r="AP29" s="63"/>
      <c r="AQ29" s="63"/>
      <c r="AR29" s="63"/>
      <c r="AS29" s="63"/>
      <c r="AT29" s="63"/>
      <c r="AU29" s="63"/>
      <c r="AV29" s="63"/>
      <c r="AW29" s="63"/>
      <c r="AX29" s="64"/>
      <c r="AY29" s="64"/>
      <c r="AZ29" s="65"/>
      <c r="BA29" s="65"/>
      <c r="BB29" s="65"/>
      <c r="BC29" s="65"/>
      <c r="BD29" s="65"/>
      <c r="BE29" s="65"/>
      <c r="BF29" s="65"/>
    </row>
    <row r="30" spans="1:58" ht="12.95" customHeight="1">
      <c r="A30" s="54" t="s">
        <v>138</v>
      </c>
      <c r="B30" s="101"/>
      <c r="G30" s="84"/>
      <c r="H30" s="84"/>
      <c r="I30" s="220"/>
      <c r="J30" s="220"/>
      <c r="K30" s="220"/>
      <c r="L30" s="217"/>
      <c r="M30" s="220"/>
      <c r="N30" s="220"/>
      <c r="O30" s="231"/>
      <c r="P30" s="220"/>
      <c r="Q30" s="220"/>
      <c r="R30" s="221"/>
      <c r="S30" s="65"/>
      <c r="T30" s="158" t="s">
        <v>219</v>
      </c>
      <c r="U30" s="374">
        <f>Enter!B17</f>
        <v>54100</v>
      </c>
      <c r="V30" s="375"/>
      <c r="W30" s="375"/>
      <c r="X30" s="376"/>
      <c r="Y30" s="102">
        <f>Enter!F17</f>
        <v>27050</v>
      </c>
      <c r="Z30" s="102">
        <f>Enter!G17</f>
        <v>0</v>
      </c>
      <c r="AA30" s="102">
        <f>Enter!H17</f>
        <v>4300</v>
      </c>
      <c r="AB30" s="102">
        <f>Enter!I17</f>
        <v>0</v>
      </c>
      <c r="AC30" s="102">
        <f>Enter!J17</f>
        <v>0</v>
      </c>
      <c r="AD30" s="102">
        <f>Enter!K17</f>
        <v>0</v>
      </c>
      <c r="AE30" s="102">
        <f>Enter!L17</f>
        <v>300</v>
      </c>
      <c r="AF30" s="102">
        <f>Enter!M17</f>
        <v>85750</v>
      </c>
      <c r="AG30" s="102">
        <f>Enter!N17</f>
        <v>8115</v>
      </c>
      <c r="AH30" s="102"/>
      <c r="AI30" s="102">
        <f>Enter!P17</f>
        <v>110</v>
      </c>
      <c r="AJ30" s="102">
        <f>Enter!Q17</f>
        <v>70</v>
      </c>
      <c r="AK30" s="102">
        <f>Enter!R17</f>
        <v>0</v>
      </c>
      <c r="AL30" s="102">
        <f>Enter!S17</f>
        <v>0</v>
      </c>
      <c r="AM30" s="102"/>
      <c r="AN30" s="102">
        <f>Enter!U17</f>
        <v>5227</v>
      </c>
      <c r="AO30" s="203">
        <f>Enter!V17</f>
        <v>209</v>
      </c>
      <c r="AP30" s="63"/>
      <c r="AQ30" s="63"/>
      <c r="AR30" s="63"/>
      <c r="AS30" s="63"/>
      <c r="AT30" s="63"/>
      <c r="AU30" s="63"/>
      <c r="AV30" s="63"/>
      <c r="AW30" s="63"/>
      <c r="AX30" s="64"/>
      <c r="AY30" s="64"/>
      <c r="AZ30" s="65"/>
      <c r="BA30" s="65"/>
      <c r="BB30" s="65"/>
      <c r="BC30" s="65"/>
      <c r="BD30" s="65"/>
      <c r="BE30" s="65"/>
      <c r="BF30" s="65"/>
    </row>
    <row r="31" spans="1:58" ht="12.95" customHeight="1">
      <c r="A31" s="79"/>
      <c r="B31" s="58" t="s">
        <v>139</v>
      </c>
      <c r="G31" s="84"/>
      <c r="H31" s="43" t="s">
        <v>39</v>
      </c>
      <c r="I31" s="368"/>
      <c r="J31" s="368"/>
      <c r="K31" s="369"/>
      <c r="L31" s="217"/>
      <c r="M31" s="220"/>
      <c r="N31" s="220"/>
      <c r="O31" s="231"/>
      <c r="P31" s="220"/>
      <c r="Q31" s="220"/>
      <c r="R31" s="221"/>
      <c r="S31" s="65"/>
      <c r="T31" s="157">
        <v>45444</v>
      </c>
      <c r="U31" s="374">
        <f>Enter!B18</f>
        <v>54100</v>
      </c>
      <c r="V31" s="375"/>
      <c r="W31" s="375"/>
      <c r="X31" s="376"/>
      <c r="Y31" s="102">
        <f>Enter!F18</f>
        <v>27050</v>
      </c>
      <c r="Z31" s="102">
        <f>Enter!G18</f>
        <v>0</v>
      </c>
      <c r="AA31" s="102">
        <f>Enter!H18</f>
        <v>4300</v>
      </c>
      <c r="AB31" s="102">
        <f>Enter!I18</f>
        <v>0</v>
      </c>
      <c r="AC31" s="102">
        <f>Enter!J18</f>
        <v>0</v>
      </c>
      <c r="AD31" s="102">
        <f>Enter!K18</f>
        <v>0</v>
      </c>
      <c r="AE31" s="102">
        <f>Enter!L18</f>
        <v>300</v>
      </c>
      <c r="AF31" s="102">
        <f>Enter!M18</f>
        <v>85750</v>
      </c>
      <c r="AG31" s="102">
        <f>Enter!N18</f>
        <v>8115</v>
      </c>
      <c r="AH31" s="102"/>
      <c r="AI31" s="102">
        <f>Enter!P18</f>
        <v>110</v>
      </c>
      <c r="AJ31" s="102">
        <f>Enter!Q18</f>
        <v>70</v>
      </c>
      <c r="AK31" s="102">
        <f>Enter!R18</f>
        <v>0</v>
      </c>
      <c r="AL31" s="102">
        <f>Enter!S18</f>
        <v>0</v>
      </c>
      <c r="AM31" s="102"/>
      <c r="AN31" s="102">
        <f>Enter!U18</f>
        <v>5227</v>
      </c>
      <c r="AO31" s="203">
        <f>Enter!V18</f>
        <v>209</v>
      </c>
      <c r="AP31" s="63"/>
      <c r="AQ31" s="63"/>
      <c r="AR31" s="63"/>
      <c r="AS31" s="63"/>
      <c r="AT31" s="63"/>
      <c r="AU31" s="63"/>
      <c r="AV31" s="63"/>
      <c r="AW31" s="63"/>
      <c r="AX31" s="64"/>
      <c r="AY31" s="64"/>
      <c r="AZ31" s="65"/>
      <c r="BA31" s="65"/>
      <c r="BB31" s="65"/>
      <c r="BC31" s="65"/>
      <c r="BD31" s="65"/>
      <c r="BE31" s="65"/>
      <c r="BF31" s="65"/>
    </row>
    <row r="32" spans="1:58" ht="12.95" customHeight="1">
      <c r="A32" s="79"/>
      <c r="B32" s="58" t="s">
        <v>140</v>
      </c>
      <c r="G32" s="84"/>
      <c r="H32" s="43" t="s">
        <v>39</v>
      </c>
      <c r="I32" s="368">
        <f>AI49+AJ49+AL49</f>
        <v>2160</v>
      </c>
      <c r="J32" s="368"/>
      <c r="K32" s="369"/>
      <c r="L32" s="217"/>
      <c r="M32" s="220"/>
      <c r="N32" s="220"/>
      <c r="O32" s="231"/>
      <c r="P32" s="220"/>
      <c r="Q32" s="220"/>
      <c r="R32" s="221"/>
      <c r="S32" s="65"/>
      <c r="T32" s="157">
        <v>45474</v>
      </c>
      <c r="U32" s="374">
        <f>Enter!B19</f>
        <v>54100</v>
      </c>
      <c r="V32" s="375"/>
      <c r="W32" s="375"/>
      <c r="X32" s="376"/>
      <c r="Y32" s="102">
        <f>Enter!F19</f>
        <v>27050</v>
      </c>
      <c r="Z32" s="102">
        <f>Enter!G19</f>
        <v>0</v>
      </c>
      <c r="AA32" s="102">
        <f>Enter!H19</f>
        <v>4300</v>
      </c>
      <c r="AB32" s="102">
        <f>Enter!I19</f>
        <v>0</v>
      </c>
      <c r="AC32" s="102">
        <f>Enter!J19</f>
        <v>0</v>
      </c>
      <c r="AD32" s="102">
        <f>Enter!K19</f>
        <v>0</v>
      </c>
      <c r="AE32" s="102">
        <f>Enter!L19</f>
        <v>300</v>
      </c>
      <c r="AF32" s="102">
        <f>Enter!M19</f>
        <v>85750</v>
      </c>
      <c r="AG32" s="102">
        <f>Enter!N19</f>
        <v>8115</v>
      </c>
      <c r="AH32" s="102"/>
      <c r="AI32" s="102">
        <f>Enter!P19</f>
        <v>110</v>
      </c>
      <c r="AJ32" s="102">
        <f>Enter!Q19</f>
        <v>70</v>
      </c>
      <c r="AK32" s="102">
        <f>Enter!R19</f>
        <v>0</v>
      </c>
      <c r="AL32" s="102">
        <f>Enter!S19</f>
        <v>0</v>
      </c>
      <c r="AM32" s="102"/>
      <c r="AN32" s="102">
        <f>Enter!U19</f>
        <v>5227</v>
      </c>
      <c r="AO32" s="203">
        <f>Enter!V19</f>
        <v>209</v>
      </c>
      <c r="AP32" s="63"/>
      <c r="AQ32" s="63"/>
      <c r="AR32" s="63"/>
      <c r="AS32" s="63"/>
      <c r="AT32" s="63"/>
      <c r="AU32" s="63"/>
      <c r="AV32" s="63"/>
      <c r="AW32" s="63"/>
      <c r="AX32" s="64"/>
      <c r="AY32" s="64"/>
      <c r="AZ32" s="65"/>
      <c r="BA32" s="65"/>
      <c r="BB32" s="65"/>
      <c r="BC32" s="65"/>
      <c r="BD32" s="65"/>
      <c r="BE32" s="65"/>
      <c r="BF32" s="65"/>
    </row>
    <row r="33" spans="1:58" ht="12.95" customHeight="1">
      <c r="A33" s="79"/>
      <c r="B33" s="58" t="s">
        <v>141</v>
      </c>
      <c r="G33" s="84"/>
      <c r="H33" s="43" t="s">
        <v>39</v>
      </c>
      <c r="I33" s="368">
        <f>AH11</f>
        <v>59319</v>
      </c>
      <c r="J33" s="368"/>
      <c r="K33" s="369"/>
      <c r="L33" s="217"/>
      <c r="M33" s="220"/>
      <c r="N33" s="220"/>
      <c r="O33" s="231"/>
      <c r="P33" s="220"/>
      <c r="Q33" s="220"/>
      <c r="R33" s="221"/>
      <c r="S33" s="65"/>
      <c r="T33" s="158" t="s">
        <v>222</v>
      </c>
      <c r="U33" s="374">
        <f>Enter!B20</f>
        <v>54100</v>
      </c>
      <c r="V33" s="375"/>
      <c r="W33" s="375"/>
      <c r="X33" s="376"/>
      <c r="Y33" s="102">
        <f>Enter!F20</f>
        <v>27050</v>
      </c>
      <c r="Z33" s="102">
        <f>Enter!G20</f>
        <v>0</v>
      </c>
      <c r="AA33" s="102">
        <f>Enter!H20</f>
        <v>4300</v>
      </c>
      <c r="AB33" s="102">
        <f>Enter!I20</f>
        <v>0</v>
      </c>
      <c r="AC33" s="102">
        <f>Enter!J20</f>
        <v>0</v>
      </c>
      <c r="AD33" s="102">
        <f>Enter!K20</f>
        <v>0</v>
      </c>
      <c r="AE33" s="102">
        <f>Enter!L20</f>
        <v>300</v>
      </c>
      <c r="AF33" s="102">
        <f>Enter!M20</f>
        <v>85750</v>
      </c>
      <c r="AG33" s="102">
        <f>Enter!N20</f>
        <v>8115</v>
      </c>
      <c r="AH33" s="102"/>
      <c r="AI33" s="102">
        <f>Enter!P20</f>
        <v>110</v>
      </c>
      <c r="AJ33" s="102">
        <f>Enter!Q20</f>
        <v>70</v>
      </c>
      <c r="AK33" s="102">
        <f>Enter!R20</f>
        <v>0</v>
      </c>
      <c r="AL33" s="102">
        <f>Enter!S20</f>
        <v>0</v>
      </c>
      <c r="AM33" s="102">
        <f>Enter!T20</f>
        <v>1250</v>
      </c>
      <c r="AN33" s="102">
        <f>Enter!U20</f>
        <v>5227</v>
      </c>
      <c r="AO33" s="203">
        <f>Enter!V20</f>
        <v>209</v>
      </c>
      <c r="AP33" s="62">
        <f>+AF33*6</f>
        <v>514500</v>
      </c>
      <c r="AQ33" s="63"/>
      <c r="AR33" s="63"/>
      <c r="AS33" s="63"/>
      <c r="AT33" s="63"/>
      <c r="AU33" s="63"/>
      <c r="AV33" s="63"/>
      <c r="AW33" s="63"/>
      <c r="AX33" s="64"/>
      <c r="AY33" s="64"/>
      <c r="AZ33" s="65"/>
      <c r="BA33" s="65"/>
      <c r="BB33" s="65"/>
      <c r="BC33" s="65"/>
      <c r="BD33" s="65"/>
      <c r="BE33" s="65"/>
      <c r="BF33" s="65"/>
    </row>
    <row r="34" spans="1:58" ht="12.95" customHeight="1">
      <c r="A34" s="79"/>
      <c r="B34" s="58" t="s">
        <v>142</v>
      </c>
      <c r="G34" s="84"/>
      <c r="H34" s="43" t="s">
        <v>39</v>
      </c>
      <c r="I34" s="368">
        <f>Enter!H64</f>
        <v>106027</v>
      </c>
      <c r="J34" s="368"/>
      <c r="K34" s="369"/>
      <c r="L34" s="217"/>
      <c r="M34" s="220"/>
      <c r="N34" s="220"/>
      <c r="O34" s="231"/>
      <c r="P34" s="220"/>
      <c r="Q34" s="220"/>
      <c r="R34" s="221"/>
      <c r="S34" s="65"/>
      <c r="T34" s="158" t="s">
        <v>223</v>
      </c>
      <c r="U34" s="374">
        <f>Enter!B21</f>
        <v>54100</v>
      </c>
      <c r="V34" s="375"/>
      <c r="W34" s="375"/>
      <c r="X34" s="376"/>
      <c r="Y34" s="102">
        <f>Enter!F21</f>
        <v>27050</v>
      </c>
      <c r="Z34" s="102">
        <f>Enter!G21</f>
        <v>0</v>
      </c>
      <c r="AA34" s="102">
        <f>Enter!H21</f>
        <v>4300</v>
      </c>
      <c r="AB34" s="102">
        <f>Enter!I21</f>
        <v>0</v>
      </c>
      <c r="AC34" s="102">
        <f>Enter!J21</f>
        <v>0</v>
      </c>
      <c r="AD34" s="102">
        <f>Enter!K21</f>
        <v>0</v>
      </c>
      <c r="AE34" s="102">
        <f>Enter!L21</f>
        <v>300</v>
      </c>
      <c r="AF34" s="102">
        <f>Enter!M21</f>
        <v>85750</v>
      </c>
      <c r="AG34" s="102">
        <f>Enter!N21</f>
        <v>8115</v>
      </c>
      <c r="AH34" s="102"/>
      <c r="AI34" s="102">
        <f>Enter!P21</f>
        <v>110</v>
      </c>
      <c r="AJ34" s="102">
        <f>Enter!Q21</f>
        <v>70</v>
      </c>
      <c r="AK34" s="102">
        <f>Enter!R21</f>
        <v>0</v>
      </c>
      <c r="AL34" s="102">
        <f>Enter!S21</f>
        <v>0</v>
      </c>
      <c r="AM34" s="102"/>
      <c r="AN34" s="102">
        <f>Enter!U21</f>
        <v>5227</v>
      </c>
      <c r="AO34" s="203">
        <f>Enter!V21</f>
        <v>209</v>
      </c>
      <c r="AP34" s="62"/>
      <c r="AQ34" s="63"/>
      <c r="AR34" s="63"/>
      <c r="AS34" s="63"/>
      <c r="AT34" s="103">
        <f>IF(AU34&gt;200000+AM40,200000+AM40,IF(AU34&lt;200000+AM40+1,AU34))</f>
        <v>202500</v>
      </c>
      <c r="AU34" s="63">
        <f>I18</f>
        <v>202500</v>
      </c>
      <c r="AV34" s="63"/>
      <c r="AW34" s="63"/>
      <c r="AX34" s="64"/>
      <c r="AY34" s="64"/>
      <c r="AZ34" s="65"/>
      <c r="BA34" s="65"/>
      <c r="BB34" s="65"/>
      <c r="BC34" s="65"/>
      <c r="BD34" s="65"/>
      <c r="BE34" s="65"/>
      <c r="BF34" s="65"/>
    </row>
    <row r="35" spans="1:58" ht="12.95" customHeight="1">
      <c r="A35" s="79"/>
      <c r="B35" s="58" t="s">
        <v>143</v>
      </c>
      <c r="G35" s="84"/>
      <c r="H35" s="43" t="s">
        <v>39</v>
      </c>
      <c r="I35" s="368"/>
      <c r="J35" s="368"/>
      <c r="K35" s="369"/>
      <c r="L35" s="217"/>
      <c r="M35" s="220"/>
      <c r="N35" s="220"/>
      <c r="O35" s="231"/>
      <c r="P35" s="220"/>
      <c r="Q35" s="220"/>
      <c r="R35" s="221"/>
      <c r="S35" s="65"/>
      <c r="T35" s="157">
        <v>45566</v>
      </c>
      <c r="U35" s="374">
        <f>Enter!B22</f>
        <v>54100</v>
      </c>
      <c r="V35" s="375"/>
      <c r="W35" s="375"/>
      <c r="X35" s="376"/>
      <c r="Y35" s="102">
        <f>Enter!F22</f>
        <v>28673</v>
      </c>
      <c r="Z35" s="102">
        <f>Enter!G22</f>
        <v>0</v>
      </c>
      <c r="AA35" s="102">
        <f>Enter!H22</f>
        <v>4300</v>
      </c>
      <c r="AB35" s="102">
        <f>Enter!I22</f>
        <v>0</v>
      </c>
      <c r="AC35" s="102">
        <f>Enter!J22</f>
        <v>0</v>
      </c>
      <c r="AD35" s="102">
        <f>Enter!K22</f>
        <v>0</v>
      </c>
      <c r="AE35" s="102">
        <f>Enter!L22</f>
        <v>300</v>
      </c>
      <c r="AF35" s="102">
        <f>Enter!M22</f>
        <v>87373</v>
      </c>
      <c r="AG35" s="102">
        <f>Enter!N22</f>
        <v>8277</v>
      </c>
      <c r="AH35" s="102"/>
      <c r="AI35" s="102">
        <f>Enter!P22</f>
        <v>110</v>
      </c>
      <c r="AJ35" s="102">
        <f>Enter!Q22</f>
        <v>70</v>
      </c>
      <c r="AK35" s="102">
        <f>Enter!R22</f>
        <v>0</v>
      </c>
      <c r="AL35" s="102">
        <f>Enter!S22</f>
        <v>0</v>
      </c>
      <c r="AM35" s="102"/>
      <c r="AN35" s="102">
        <f>Enter!U22</f>
        <v>5617</v>
      </c>
      <c r="AO35" s="203">
        <f>Enter!V22</f>
        <v>225</v>
      </c>
      <c r="AP35" s="62"/>
      <c r="AQ35" s="63"/>
      <c r="AR35" s="63"/>
      <c r="AS35" s="63"/>
      <c r="AT35" s="103">
        <f>IF(AU35&gt;150000,150000,IF(AU35&lt;150001,AU35))</f>
        <v>150000</v>
      </c>
      <c r="AU35" s="63">
        <f>I40</f>
        <v>167506</v>
      </c>
      <c r="AV35" s="63"/>
      <c r="AW35" s="63"/>
      <c r="AX35" s="64"/>
      <c r="AY35" s="64"/>
      <c r="AZ35" s="65"/>
      <c r="BA35" s="65"/>
      <c r="BB35" s="65"/>
      <c r="BC35" s="65"/>
      <c r="BD35" s="65"/>
      <c r="BE35" s="65"/>
      <c r="BF35" s="65"/>
    </row>
    <row r="36" spans="1:58" ht="12.95" customHeight="1">
      <c r="A36" s="79"/>
      <c r="B36" s="58" t="s">
        <v>144</v>
      </c>
      <c r="G36" s="84"/>
      <c r="H36" s="43" t="s">
        <v>39</v>
      </c>
      <c r="I36" s="368"/>
      <c r="J36" s="368"/>
      <c r="K36" s="369"/>
      <c r="L36" s="217"/>
      <c r="M36" s="220"/>
      <c r="N36" s="220"/>
      <c r="O36" s="231"/>
      <c r="P36" s="220"/>
      <c r="Q36" s="220"/>
      <c r="R36" s="221"/>
      <c r="S36" s="65"/>
      <c r="T36" s="157">
        <v>45597</v>
      </c>
      <c r="U36" s="374">
        <f>Enter!B23</f>
        <v>54100</v>
      </c>
      <c r="V36" s="375"/>
      <c r="W36" s="375"/>
      <c r="X36" s="376"/>
      <c r="Y36" s="102">
        <f>Enter!F23</f>
        <v>28673</v>
      </c>
      <c r="Z36" s="102">
        <f>Enter!G23</f>
        <v>0</v>
      </c>
      <c r="AA36" s="102">
        <f>Enter!H23</f>
        <v>4300</v>
      </c>
      <c r="AB36" s="102">
        <f>Enter!I23</f>
        <v>0</v>
      </c>
      <c r="AC36" s="102">
        <f>Enter!J23</f>
        <v>0</v>
      </c>
      <c r="AD36" s="102">
        <f>Enter!K23</f>
        <v>0</v>
      </c>
      <c r="AE36" s="102">
        <f>Enter!L23</f>
        <v>300</v>
      </c>
      <c r="AF36" s="102">
        <f>Enter!M23</f>
        <v>87373</v>
      </c>
      <c r="AG36" s="102">
        <f>Enter!N23</f>
        <v>8277</v>
      </c>
      <c r="AH36" s="102"/>
      <c r="AI36" s="102">
        <f>Enter!P23</f>
        <v>110</v>
      </c>
      <c r="AJ36" s="102">
        <f>Enter!Q23</f>
        <v>70</v>
      </c>
      <c r="AK36" s="102">
        <f>Enter!R23</f>
        <v>0</v>
      </c>
      <c r="AL36" s="102">
        <f>Enter!S23</f>
        <v>0</v>
      </c>
      <c r="AM36" s="102"/>
      <c r="AN36" s="102">
        <f>Enter!U23</f>
        <v>5617</v>
      </c>
      <c r="AO36" s="203">
        <f>Enter!V23</f>
        <v>225</v>
      </c>
      <c r="AP36" s="62"/>
      <c r="AQ36" s="63"/>
      <c r="AR36" s="63"/>
      <c r="AS36" s="63"/>
      <c r="AT36" s="103">
        <f>IF(AU36&gt;100000,100000,IF(AU36&lt;100001,AU36))</f>
        <v>0</v>
      </c>
      <c r="AU36" s="63">
        <f>I29</f>
        <v>0</v>
      </c>
      <c r="AV36" s="63"/>
      <c r="AW36" s="63"/>
      <c r="AX36" s="64"/>
      <c r="AY36" s="64"/>
      <c r="AZ36" s="65"/>
      <c r="BA36" s="65"/>
      <c r="BB36" s="65"/>
      <c r="BC36" s="65"/>
      <c r="BD36" s="65"/>
      <c r="BE36" s="65"/>
      <c r="BF36" s="65"/>
    </row>
    <row r="37" spans="1:58" ht="12.95" customHeight="1">
      <c r="A37" s="79"/>
      <c r="B37" s="58" t="s">
        <v>145</v>
      </c>
      <c r="G37" s="84"/>
      <c r="H37" s="43" t="s">
        <v>39</v>
      </c>
      <c r="I37" s="368"/>
      <c r="J37" s="368"/>
      <c r="K37" s="369"/>
      <c r="L37" s="217"/>
      <c r="M37" s="220"/>
      <c r="N37" s="220"/>
      <c r="O37" s="231"/>
      <c r="P37" s="220"/>
      <c r="Q37" s="220"/>
      <c r="R37" s="221"/>
      <c r="S37" s="65"/>
      <c r="T37" s="158" t="s">
        <v>226</v>
      </c>
      <c r="U37" s="374">
        <f>Enter!B24</f>
        <v>54100</v>
      </c>
      <c r="V37" s="375"/>
      <c r="W37" s="375"/>
      <c r="X37" s="376"/>
      <c r="Y37" s="102">
        <f>Enter!F24</f>
        <v>28673</v>
      </c>
      <c r="Z37" s="102">
        <f>Enter!G24</f>
        <v>0</v>
      </c>
      <c r="AA37" s="102">
        <f>Enter!H24</f>
        <v>4300</v>
      </c>
      <c r="AB37" s="102">
        <f>Enter!I24</f>
        <v>0</v>
      </c>
      <c r="AC37" s="102">
        <f>Enter!J24</f>
        <v>0</v>
      </c>
      <c r="AD37" s="102">
        <f>Enter!K24</f>
        <v>0</v>
      </c>
      <c r="AE37" s="102">
        <f>Enter!L24</f>
        <v>300</v>
      </c>
      <c r="AF37" s="102">
        <f>Enter!M24</f>
        <v>87373</v>
      </c>
      <c r="AG37" s="102">
        <f>Enter!N24</f>
        <v>8277</v>
      </c>
      <c r="AH37" s="102"/>
      <c r="AI37" s="102">
        <f>Enter!P24</f>
        <v>110</v>
      </c>
      <c r="AJ37" s="102">
        <f>Enter!Q24</f>
        <v>70</v>
      </c>
      <c r="AK37" s="102">
        <f>Enter!R24</f>
        <v>0</v>
      </c>
      <c r="AL37" s="102">
        <f>Enter!S24</f>
        <v>0</v>
      </c>
      <c r="AM37" s="102"/>
      <c r="AN37" s="102">
        <f>Enter!U24</f>
        <v>1511</v>
      </c>
      <c r="AO37" s="203">
        <f>Enter!V24</f>
        <v>60</v>
      </c>
      <c r="AP37" s="62"/>
      <c r="AQ37" s="63"/>
      <c r="AR37" s="63"/>
      <c r="AS37" s="63"/>
      <c r="AT37" s="63"/>
      <c r="AU37" s="63"/>
      <c r="AV37" s="63"/>
      <c r="AW37" s="63"/>
      <c r="AX37" s="64"/>
      <c r="AY37" s="64"/>
      <c r="AZ37" s="65"/>
      <c r="BA37" s="65"/>
      <c r="BB37" s="65"/>
      <c r="BC37" s="65"/>
      <c r="BD37" s="65"/>
      <c r="BE37" s="65"/>
      <c r="BF37" s="65"/>
    </row>
    <row r="38" spans="1:58" ht="12.95" customHeight="1">
      <c r="A38" s="79"/>
      <c r="B38" s="58" t="s">
        <v>146</v>
      </c>
      <c r="G38" s="84"/>
      <c r="H38" s="43" t="s">
        <v>39</v>
      </c>
      <c r="I38" s="368"/>
      <c r="J38" s="368"/>
      <c r="K38" s="369"/>
      <c r="L38" s="217"/>
      <c r="M38" s="220"/>
      <c r="N38" s="220"/>
      <c r="O38" s="231"/>
      <c r="P38" s="220"/>
      <c r="Q38" s="220"/>
      <c r="R38" s="221"/>
      <c r="S38" s="65"/>
      <c r="T38" s="158" t="s">
        <v>227</v>
      </c>
      <c r="U38" s="374">
        <f>Enter!B25</f>
        <v>55600</v>
      </c>
      <c r="V38" s="375"/>
      <c r="W38" s="375"/>
      <c r="X38" s="376"/>
      <c r="Y38" s="102">
        <f>Enter!F25</f>
        <v>29468</v>
      </c>
      <c r="Z38" s="102">
        <f>Enter!G25</f>
        <v>0</v>
      </c>
      <c r="AA38" s="102">
        <f>Enter!H25</f>
        <v>4300</v>
      </c>
      <c r="AB38" s="102">
        <f>Enter!I25</f>
        <v>0</v>
      </c>
      <c r="AC38" s="102">
        <f>Enter!J25</f>
        <v>0</v>
      </c>
      <c r="AD38" s="102">
        <f>Enter!K25</f>
        <v>0</v>
      </c>
      <c r="AE38" s="102">
        <f>Enter!L25</f>
        <v>300</v>
      </c>
      <c r="AF38" s="102">
        <f>Enter!M25</f>
        <v>89668</v>
      </c>
      <c r="AG38" s="102">
        <f>Enter!N25</f>
        <v>8507</v>
      </c>
      <c r="AH38" s="102"/>
      <c r="AI38" s="102">
        <f>Enter!P25</f>
        <v>110</v>
      </c>
      <c r="AJ38" s="102">
        <f>Enter!Q25</f>
        <v>70</v>
      </c>
      <c r="AK38" s="102">
        <f>Enter!R25</f>
        <v>0</v>
      </c>
      <c r="AL38" s="102">
        <f>Enter!S25</f>
        <v>0</v>
      </c>
      <c r="AM38" s="102">
        <f>Enter!T25</f>
        <v>1250</v>
      </c>
      <c r="AN38" s="102">
        <f>Enter!U25</f>
        <v>0</v>
      </c>
      <c r="AO38" s="203">
        <f>Enter!V25</f>
        <v>0</v>
      </c>
      <c r="AP38" s="62">
        <f>+AF38*6</f>
        <v>538008</v>
      </c>
      <c r="AQ38" s="63"/>
      <c r="AR38" s="63"/>
      <c r="AS38" s="63"/>
      <c r="AT38" s="63"/>
      <c r="AU38" s="63"/>
      <c r="AV38" s="63"/>
      <c r="AW38" s="63"/>
      <c r="AX38" s="64"/>
      <c r="AY38" s="64"/>
      <c r="AZ38" s="65"/>
      <c r="BA38" s="65"/>
      <c r="BB38" s="65"/>
      <c r="BC38" s="65"/>
      <c r="BD38" s="65"/>
      <c r="BE38" s="65"/>
      <c r="BF38" s="65"/>
    </row>
    <row r="39" spans="1:58" ht="12.95" customHeight="1">
      <c r="A39" s="79"/>
      <c r="B39" s="58" t="s">
        <v>189</v>
      </c>
      <c r="G39" s="84"/>
      <c r="H39" s="43" t="s">
        <v>39</v>
      </c>
      <c r="I39" s="368"/>
      <c r="J39" s="368"/>
      <c r="K39" s="369"/>
      <c r="L39" s="217"/>
      <c r="M39" s="220"/>
      <c r="N39" s="220"/>
      <c r="O39" s="231"/>
      <c r="P39" s="220"/>
      <c r="Q39" s="220"/>
      <c r="R39" s="221"/>
      <c r="S39" s="65"/>
      <c r="T39" s="158" t="s">
        <v>228</v>
      </c>
      <c r="U39" s="374">
        <f>Enter!B26</f>
        <v>55600</v>
      </c>
      <c r="V39" s="375"/>
      <c r="W39" s="375"/>
      <c r="X39" s="376"/>
      <c r="Y39" s="102">
        <f>Enter!F26</f>
        <v>29468</v>
      </c>
      <c r="Z39" s="102">
        <f>Enter!G26</f>
        <v>0</v>
      </c>
      <c r="AA39" s="102">
        <f>Enter!H26</f>
        <v>4300</v>
      </c>
      <c r="AB39" s="102">
        <f>Enter!I26</f>
        <v>0</v>
      </c>
      <c r="AC39" s="102">
        <f>Enter!J26</f>
        <v>0</v>
      </c>
      <c r="AD39" s="102">
        <f>Enter!K26</f>
        <v>0</v>
      </c>
      <c r="AE39" s="102">
        <f>Enter!L26</f>
        <v>300</v>
      </c>
      <c r="AF39" s="102">
        <f>Enter!M26</f>
        <v>89668</v>
      </c>
      <c r="AG39" s="102">
        <f>Enter!N26</f>
        <v>8507</v>
      </c>
      <c r="AH39" s="102"/>
      <c r="AI39" s="102">
        <f>Enter!P26</f>
        <v>110</v>
      </c>
      <c r="AJ39" s="102">
        <f>Enter!Q26</f>
        <v>70</v>
      </c>
      <c r="AK39" s="102">
        <f>Enter!R26</f>
        <v>0</v>
      </c>
      <c r="AL39" s="102">
        <f>Enter!S26</f>
        <v>0</v>
      </c>
      <c r="AM39" s="102"/>
      <c r="AN39" s="102">
        <f>Enter!U26</f>
        <v>0</v>
      </c>
      <c r="AO39" s="203">
        <f>Enter!V26</f>
        <v>0</v>
      </c>
      <c r="AP39" s="63"/>
      <c r="AQ39" s="63"/>
      <c r="AR39" s="63"/>
      <c r="AS39" s="63"/>
      <c r="AT39" s="63"/>
      <c r="AU39" s="63"/>
      <c r="AV39" s="63"/>
      <c r="AW39" s="63"/>
      <c r="AX39" s="64"/>
      <c r="AY39" s="64"/>
      <c r="AZ39" s="65"/>
      <c r="BA39" s="65"/>
      <c r="BB39" s="65"/>
      <c r="BC39" s="65"/>
      <c r="BD39" s="65"/>
      <c r="BE39" s="65"/>
      <c r="BF39" s="65"/>
    </row>
    <row r="40" spans="1:58" ht="12.95" customHeight="1">
      <c r="A40" s="79"/>
      <c r="B40" s="58" t="s">
        <v>147</v>
      </c>
      <c r="G40" s="84"/>
      <c r="H40" s="43" t="s">
        <v>39</v>
      </c>
      <c r="I40" s="411">
        <f>SUM(I31:I39)</f>
        <v>167506</v>
      </c>
      <c r="J40" s="411"/>
      <c r="K40" s="412"/>
      <c r="L40" s="234" t="s">
        <v>39</v>
      </c>
      <c r="M40" s="411">
        <f>AT35</f>
        <v>150000</v>
      </c>
      <c r="N40" s="411"/>
      <c r="O40" s="412"/>
      <c r="P40" s="218"/>
      <c r="Q40" s="220"/>
      <c r="R40" s="221"/>
      <c r="S40" s="65"/>
      <c r="T40" s="144" t="s">
        <v>60</v>
      </c>
      <c r="U40" s="374">
        <f>SUM(U28:X39)</f>
        <v>652200</v>
      </c>
      <c r="V40" s="375"/>
      <c r="W40" s="375"/>
      <c r="X40" s="376"/>
      <c r="Y40" s="105">
        <f t="shared" ref="Y40:AK40" si="0">SUM(Y28:Y39)</f>
        <v>332141</v>
      </c>
      <c r="Z40" s="105">
        <f t="shared" si="0"/>
        <v>0</v>
      </c>
      <c r="AA40" s="105">
        <f t="shared" si="0"/>
        <v>51600</v>
      </c>
      <c r="AB40" s="105">
        <f t="shared" si="0"/>
        <v>0</v>
      </c>
      <c r="AC40" s="105">
        <f t="shared" si="0"/>
        <v>0</v>
      </c>
      <c r="AD40" s="105">
        <f t="shared" si="0"/>
        <v>0</v>
      </c>
      <c r="AE40" s="105">
        <f t="shared" si="0"/>
        <v>3600</v>
      </c>
      <c r="AF40" s="105">
        <f t="shared" si="0"/>
        <v>1039541</v>
      </c>
      <c r="AG40" s="105">
        <f t="shared" si="0"/>
        <v>98434</v>
      </c>
      <c r="AH40" s="105">
        <f t="shared" si="0"/>
        <v>0</v>
      </c>
      <c r="AI40" s="105">
        <f t="shared" si="0"/>
        <v>1320</v>
      </c>
      <c r="AJ40" s="105">
        <f t="shared" si="0"/>
        <v>840</v>
      </c>
      <c r="AK40" s="105">
        <f t="shared" si="0"/>
        <v>0</v>
      </c>
      <c r="AL40" s="105">
        <f t="shared" ref="AL40:AO40" si="1">SUM(AL28:AL39)</f>
        <v>0</v>
      </c>
      <c r="AM40" s="105">
        <f t="shared" si="1"/>
        <v>2500</v>
      </c>
      <c r="AN40" s="105">
        <f t="shared" si="1"/>
        <v>44107</v>
      </c>
      <c r="AO40" s="204">
        <f t="shared" si="1"/>
        <v>1764</v>
      </c>
      <c r="AP40" s="63"/>
      <c r="AQ40" s="63"/>
      <c r="AR40" s="63"/>
      <c r="AS40" s="63"/>
      <c r="AT40" s="63"/>
      <c r="AU40" s="63"/>
      <c r="AV40" s="63"/>
      <c r="AW40" s="63"/>
      <c r="AX40" s="64"/>
      <c r="AY40" s="64"/>
      <c r="AZ40" s="65"/>
      <c r="BA40" s="65"/>
      <c r="BB40" s="65"/>
      <c r="BC40" s="65"/>
      <c r="BD40" s="65"/>
      <c r="BE40" s="65"/>
      <c r="BF40" s="65"/>
    </row>
    <row r="41" spans="1:58" ht="12.95" customHeight="1">
      <c r="A41" s="54" t="s">
        <v>69</v>
      </c>
      <c r="G41" s="84"/>
      <c r="H41" s="43" t="s">
        <v>39</v>
      </c>
      <c r="I41" s="435">
        <f>Enter!H72</f>
        <v>113268</v>
      </c>
      <c r="J41" s="435"/>
      <c r="K41" s="436"/>
      <c r="L41" s="234" t="s">
        <v>39</v>
      </c>
      <c r="M41" s="385">
        <f>AV46</f>
        <v>50000</v>
      </c>
      <c r="N41" s="385"/>
      <c r="O41" s="386"/>
      <c r="P41" s="218" t="s">
        <v>39</v>
      </c>
      <c r="Q41" s="372">
        <f>Q28-(M40+M41)</f>
        <v>591910</v>
      </c>
      <c r="R41" s="380"/>
      <c r="S41" s="65"/>
      <c r="T41" s="106" t="s">
        <v>21</v>
      </c>
      <c r="U41" s="374"/>
      <c r="V41" s="375"/>
      <c r="W41" s="375"/>
      <c r="X41" s="376"/>
      <c r="Y41" s="102">
        <f>Enter!F27</f>
        <v>4869</v>
      </c>
      <c r="Z41" s="102"/>
      <c r="AA41" s="102"/>
      <c r="AB41" s="102"/>
      <c r="AC41" s="102"/>
      <c r="AD41" s="102"/>
      <c r="AE41" s="102"/>
      <c r="AF41" s="102">
        <f>Enter!M27</f>
        <v>4869</v>
      </c>
      <c r="AG41" s="102">
        <f>Enter!N27</f>
        <v>486</v>
      </c>
      <c r="AH41" s="102"/>
      <c r="AI41" s="102"/>
      <c r="AJ41" s="102"/>
      <c r="AK41" s="102"/>
      <c r="AL41" s="102"/>
      <c r="AM41" s="102"/>
      <c r="AN41" s="102"/>
      <c r="AO41" s="203"/>
      <c r="AP41" s="63"/>
      <c r="AQ41" s="63"/>
      <c r="AR41" s="63"/>
      <c r="AS41" s="63"/>
      <c r="AT41" s="63"/>
      <c r="AU41" s="63"/>
      <c r="AV41" s="63"/>
      <c r="AW41" s="63"/>
      <c r="AX41" s="64"/>
      <c r="AY41" s="64"/>
      <c r="AZ41" s="65"/>
      <c r="BA41" s="65"/>
      <c r="BB41" s="65"/>
      <c r="BC41" s="65"/>
      <c r="BD41" s="65"/>
      <c r="BE41" s="65"/>
      <c r="BF41" s="65"/>
    </row>
    <row r="42" spans="1:58" ht="12.95" customHeight="1">
      <c r="A42" s="79" t="s">
        <v>148</v>
      </c>
      <c r="G42" s="84"/>
      <c r="H42" s="84"/>
      <c r="I42" s="220"/>
      <c r="J42" s="220"/>
      <c r="K42" s="220"/>
      <c r="L42" s="217"/>
      <c r="M42" s="220"/>
      <c r="N42" s="220"/>
      <c r="O42" s="231"/>
      <c r="P42" s="218" t="s">
        <v>39</v>
      </c>
      <c r="Q42" s="411">
        <f>ROUND(Q41,-1)</f>
        <v>591910</v>
      </c>
      <c r="R42" s="427"/>
      <c r="S42" s="78"/>
      <c r="T42" s="106" t="s">
        <v>21</v>
      </c>
      <c r="U42" s="374"/>
      <c r="V42" s="375"/>
      <c r="W42" s="375"/>
      <c r="X42" s="376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203"/>
      <c r="AP42" s="63"/>
      <c r="AQ42" s="63">
        <v>12</v>
      </c>
      <c r="AR42" s="107" t="s">
        <v>149</v>
      </c>
      <c r="AS42" s="63"/>
      <c r="AT42" s="63"/>
      <c r="AU42" s="85">
        <f>Q42</f>
        <v>591910</v>
      </c>
      <c r="AV42" s="63">
        <v>12500</v>
      </c>
      <c r="AW42" s="63"/>
      <c r="AX42" s="64"/>
      <c r="AY42" s="64"/>
      <c r="AZ42" s="65"/>
      <c r="BA42" s="65"/>
      <c r="BB42" s="65"/>
      <c r="BC42" s="65"/>
      <c r="BD42" s="65"/>
      <c r="BE42" s="65"/>
      <c r="BF42" s="65"/>
    </row>
    <row r="43" spans="1:58" ht="12.95" customHeight="1">
      <c r="A43" s="74" t="s">
        <v>150</v>
      </c>
      <c r="B43" s="75"/>
      <c r="C43" s="75"/>
      <c r="D43" s="75"/>
      <c r="E43" s="75"/>
      <c r="F43" s="75"/>
      <c r="G43" s="451">
        <f>Q42</f>
        <v>591910</v>
      </c>
      <c r="H43" s="451"/>
      <c r="I43" s="451"/>
      <c r="J43" s="235"/>
      <c r="K43" s="235"/>
      <c r="L43" s="236"/>
      <c r="M43" s="235"/>
      <c r="N43" s="235"/>
      <c r="O43" s="237"/>
      <c r="P43" s="235"/>
      <c r="Q43" s="407"/>
      <c r="R43" s="408"/>
      <c r="S43" s="65"/>
      <c r="T43" s="106" t="s">
        <v>22</v>
      </c>
      <c r="U43" s="374"/>
      <c r="V43" s="375"/>
      <c r="W43" s="375"/>
      <c r="X43" s="376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203"/>
      <c r="AP43" s="63"/>
      <c r="AQ43" s="63"/>
      <c r="AR43" s="63" t="s">
        <v>151</v>
      </c>
      <c r="AS43" s="63"/>
      <c r="AT43" s="63" t="str">
        <f>IF(AU42&lt;250001,"NIL",IF(AU42&gt;250000,"NIL"))</f>
        <v>NIL</v>
      </c>
      <c r="AU43" s="63"/>
      <c r="AV43" s="108"/>
      <c r="AW43" s="63"/>
      <c r="AX43" s="64"/>
      <c r="AY43" s="64"/>
      <c r="AZ43" s="65"/>
      <c r="BA43" s="65"/>
      <c r="BB43" s="65"/>
      <c r="BC43" s="65"/>
      <c r="BD43" s="65"/>
      <c r="BE43" s="65"/>
      <c r="BF43" s="65"/>
    </row>
    <row r="44" spans="1:58" ht="12.95" customHeight="1">
      <c r="A44" s="109" t="s">
        <v>73</v>
      </c>
      <c r="B44" s="101"/>
      <c r="G44" s="437" t="str">
        <f>AT43</f>
        <v>NIL</v>
      </c>
      <c r="H44" s="437"/>
      <c r="I44" s="238"/>
      <c r="J44" s="215"/>
      <c r="K44" s="215"/>
      <c r="L44" s="212"/>
      <c r="M44" s="215"/>
      <c r="N44" s="215"/>
      <c r="O44" s="239"/>
      <c r="P44" s="215"/>
      <c r="Q44" s="409"/>
      <c r="R44" s="410"/>
      <c r="S44" s="65"/>
      <c r="T44" s="106" t="s">
        <v>152</v>
      </c>
      <c r="U44" s="374"/>
      <c r="V44" s="375"/>
      <c r="W44" s="375"/>
      <c r="X44" s="376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203"/>
      <c r="AP44" s="63"/>
      <c r="AQ44" s="63"/>
      <c r="AR44" s="63" t="s">
        <v>153</v>
      </c>
      <c r="AS44" s="63"/>
      <c r="AT44" s="63" t="str">
        <f>IF(AU42&lt;250001,"---",IF(AU42&lt;500001,AU42-250000,IF(AU42&gt;500000,"250000")))</f>
        <v>250000</v>
      </c>
      <c r="AU44" s="110">
        <f>IF(AU42&lt;250001,"---",IF(AU42&lt;500001,(AU42-250000)*5%,IF(AU42&gt;500000,AV42)))</f>
        <v>12500</v>
      </c>
      <c r="AV44" s="108"/>
      <c r="AW44" s="63"/>
      <c r="AX44" s="64"/>
      <c r="AY44" s="64"/>
      <c r="AZ44" s="65"/>
      <c r="BA44" s="65"/>
      <c r="BB44" s="65"/>
      <c r="BC44" s="65"/>
      <c r="BD44" s="65"/>
      <c r="BE44" s="65"/>
      <c r="BF44" s="65"/>
    </row>
    <row r="45" spans="1:58" ht="12.95" customHeight="1">
      <c r="A45" s="109" t="s">
        <v>74</v>
      </c>
      <c r="B45" s="101"/>
      <c r="F45" s="111"/>
      <c r="G45" s="428" t="str">
        <f>AT44</f>
        <v>250000</v>
      </c>
      <c r="H45" s="428"/>
      <c r="I45" s="240" t="s">
        <v>32</v>
      </c>
      <c r="J45" s="454">
        <v>0.05</v>
      </c>
      <c r="K45" s="455"/>
      <c r="L45" s="241" t="s">
        <v>39</v>
      </c>
      <c r="M45" s="428">
        <f>ROUND((AU44),0)</f>
        <v>12500</v>
      </c>
      <c r="N45" s="428"/>
      <c r="O45" s="441"/>
      <c r="P45" s="213"/>
      <c r="Q45" s="409"/>
      <c r="R45" s="410"/>
      <c r="S45" s="65"/>
      <c r="T45" s="106" t="s">
        <v>24</v>
      </c>
      <c r="U45" s="374">
        <f>Enter!B31</f>
        <v>0</v>
      </c>
      <c r="V45" s="375"/>
      <c r="W45" s="375"/>
      <c r="X45" s="376"/>
      <c r="Y45" s="102">
        <f>Enter!F31</f>
        <v>0</v>
      </c>
      <c r="Z45" s="102"/>
      <c r="AA45" s="102"/>
      <c r="AB45" s="102"/>
      <c r="AC45" s="102"/>
      <c r="AD45" s="102"/>
      <c r="AE45" s="102"/>
      <c r="AF45" s="102">
        <f>Enter!M31</f>
        <v>0</v>
      </c>
      <c r="AG45" s="102"/>
      <c r="AH45" s="102"/>
      <c r="AI45" s="102"/>
      <c r="AJ45" s="102"/>
      <c r="AK45" s="102"/>
      <c r="AL45" s="102"/>
      <c r="AM45" s="102"/>
      <c r="AN45" s="102"/>
      <c r="AO45" s="203"/>
      <c r="AP45" s="63"/>
      <c r="AQ45" s="63"/>
      <c r="AR45" s="63" t="s">
        <v>154</v>
      </c>
      <c r="AS45" s="63"/>
      <c r="AT45" s="63">
        <f>IF(AU42&lt;500001,"----",IF(AU42&gt;1000001,"500000",AU42-500000))</f>
        <v>91910</v>
      </c>
      <c r="AU45" s="110">
        <f>IF(AT45="----","----",IF(AT45&gt;0,AT45*20%))</f>
        <v>18382</v>
      </c>
      <c r="AV45" s="63"/>
      <c r="AW45" s="63"/>
      <c r="AX45" s="64"/>
      <c r="AY45" s="64"/>
      <c r="AZ45" s="65"/>
      <c r="BA45" s="65"/>
      <c r="BB45" s="65"/>
      <c r="BC45" s="65"/>
      <c r="BD45" s="65"/>
      <c r="BE45" s="65"/>
      <c r="BF45" s="65"/>
    </row>
    <row r="46" spans="1:58" ht="12.95" customHeight="1">
      <c r="A46" s="109" t="s">
        <v>75</v>
      </c>
      <c r="B46" s="101"/>
      <c r="F46" s="111"/>
      <c r="G46" s="434">
        <f>AT45</f>
        <v>91910</v>
      </c>
      <c r="H46" s="434"/>
      <c r="I46" s="240" t="s">
        <v>32</v>
      </c>
      <c r="J46" s="454">
        <v>0.2</v>
      </c>
      <c r="K46" s="455"/>
      <c r="L46" s="241" t="s">
        <v>39</v>
      </c>
      <c r="M46" s="428">
        <f>AU45</f>
        <v>18382</v>
      </c>
      <c r="N46" s="428"/>
      <c r="O46" s="441"/>
      <c r="P46" s="213"/>
      <c r="Q46" s="409"/>
      <c r="R46" s="410"/>
      <c r="S46" s="65"/>
      <c r="T46" s="106" t="s">
        <v>24</v>
      </c>
      <c r="U46" s="374"/>
      <c r="V46" s="375"/>
      <c r="W46" s="375"/>
      <c r="X46" s="376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203"/>
      <c r="AP46" s="63"/>
      <c r="AQ46" s="63"/>
      <c r="AR46" s="63" t="s">
        <v>155</v>
      </c>
      <c r="AS46" s="63"/>
      <c r="AT46" s="63" t="str">
        <f>IF((AU42-1000001)&gt;0,AU42-1000000,IF((AU42-1000000)&lt;0,"0"))</f>
        <v>0</v>
      </c>
      <c r="AU46" s="63">
        <f>ROUND((AT46*0.3),0)</f>
        <v>0</v>
      </c>
      <c r="AV46" s="112">
        <f>IF(I41&gt;50000,50000,IF(I41&lt;50001,I41))</f>
        <v>50000</v>
      </c>
      <c r="AW46" s="63"/>
      <c r="AX46" s="64"/>
      <c r="AY46" s="64"/>
      <c r="AZ46" s="65"/>
      <c r="BA46" s="65"/>
      <c r="BB46" s="65"/>
      <c r="BC46" s="65"/>
      <c r="BD46" s="65"/>
      <c r="BE46" s="65"/>
      <c r="BF46" s="65"/>
    </row>
    <row r="47" spans="1:58" ht="12.95" customHeight="1">
      <c r="A47" s="113" t="s">
        <v>76</v>
      </c>
      <c r="B47" s="114"/>
      <c r="C47" s="90"/>
      <c r="D47" s="90"/>
      <c r="E47" s="90"/>
      <c r="F47" s="90"/>
      <c r="G47" s="433" t="str">
        <f>AT46</f>
        <v>0</v>
      </c>
      <c r="H47" s="433"/>
      <c r="I47" s="242" t="s">
        <v>32</v>
      </c>
      <c r="J47" s="457">
        <v>0.3</v>
      </c>
      <c r="K47" s="458"/>
      <c r="L47" s="243" t="s">
        <v>39</v>
      </c>
      <c r="M47" s="433">
        <f>AU46</f>
        <v>0</v>
      </c>
      <c r="N47" s="433"/>
      <c r="O47" s="460"/>
      <c r="P47" s="243" t="s">
        <v>39</v>
      </c>
      <c r="Q47" s="372">
        <f>SUM(M45:O47)</f>
        <v>30882</v>
      </c>
      <c r="R47" s="380"/>
      <c r="S47" s="115"/>
      <c r="T47" s="106" t="s">
        <v>24</v>
      </c>
      <c r="U47" s="374"/>
      <c r="V47" s="375"/>
      <c r="W47" s="375"/>
      <c r="X47" s="376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203"/>
      <c r="AP47" s="63"/>
      <c r="AQ47" s="63"/>
      <c r="AR47" s="63" t="s">
        <v>156</v>
      </c>
      <c r="AS47" s="63"/>
      <c r="AT47" s="63"/>
      <c r="AU47" s="110" t="s">
        <v>120</v>
      </c>
      <c r="AV47" s="103">
        <f>IF(AU42&gt;1000000,112500+(AU42-1000000)*30%,IF(AU42&gt;500000,12500+(AU42-500000)*20%,IF(AU42&gt;250000,(AU42-250000)*5%,IF(AU42&lt;250001,0))))</f>
        <v>30882</v>
      </c>
      <c r="AW47" s="63"/>
      <c r="AX47" s="64"/>
      <c r="AY47" s="64"/>
      <c r="AZ47" s="65"/>
      <c r="BA47" s="65"/>
      <c r="BB47" s="65"/>
      <c r="BC47" s="65"/>
      <c r="BD47" s="65"/>
      <c r="BE47" s="65"/>
      <c r="BF47" s="65"/>
    </row>
    <row r="48" spans="1:58" ht="12.95" customHeight="1">
      <c r="A48" s="74" t="s">
        <v>157</v>
      </c>
      <c r="B48" s="75"/>
      <c r="C48" s="75"/>
      <c r="D48" s="75"/>
      <c r="E48" s="75"/>
      <c r="F48" s="75"/>
      <c r="G48" s="235"/>
      <c r="H48" s="235"/>
      <c r="I48" s="235"/>
      <c r="J48" s="235"/>
      <c r="K48" s="235"/>
      <c r="L48" s="236"/>
      <c r="M48" s="235"/>
      <c r="N48" s="235"/>
      <c r="O48" s="237"/>
      <c r="P48" s="213" t="s">
        <v>39</v>
      </c>
      <c r="Q48" s="405">
        <f>+Q47</f>
        <v>30882</v>
      </c>
      <c r="R48" s="456"/>
      <c r="S48" s="115"/>
      <c r="T48" s="106" t="s">
        <v>25</v>
      </c>
      <c r="U48" s="374"/>
      <c r="V48" s="375"/>
      <c r="W48" s="375"/>
      <c r="X48" s="376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203"/>
      <c r="AP48" s="63"/>
      <c r="AQ48" s="63">
        <v>13</v>
      </c>
      <c r="AR48" s="63" t="s">
        <v>158</v>
      </c>
      <c r="AS48" s="63"/>
      <c r="AT48" s="63"/>
      <c r="AU48" s="103" t="s">
        <v>120</v>
      </c>
      <c r="AV48" s="85">
        <f>AV47</f>
        <v>30882</v>
      </c>
      <c r="AW48" s="63"/>
      <c r="AX48" s="64"/>
      <c r="AY48" s="64"/>
      <c r="AZ48" s="65"/>
      <c r="BA48" s="65"/>
      <c r="BB48" s="65"/>
      <c r="BC48" s="65"/>
      <c r="BD48" s="65"/>
      <c r="BE48" s="65"/>
      <c r="BF48" s="65"/>
    </row>
    <row r="49" spans="1:58" ht="12.95" customHeight="1">
      <c r="A49" s="79"/>
      <c r="B49" s="58" t="s">
        <v>78</v>
      </c>
      <c r="G49" s="215"/>
      <c r="H49" s="215"/>
      <c r="I49" s="215"/>
      <c r="J49" s="215"/>
      <c r="K49" s="215"/>
      <c r="L49" s="212"/>
      <c r="M49" s="215"/>
      <c r="N49" s="215"/>
      <c r="O49" s="239"/>
      <c r="P49" s="244" t="s">
        <v>39</v>
      </c>
      <c r="Q49" s="449">
        <f>IF(Q42&lt;500000,(12500),(0))</f>
        <v>0</v>
      </c>
      <c r="R49" s="450"/>
      <c r="S49" s="115"/>
      <c r="T49" s="106" t="s">
        <v>60</v>
      </c>
      <c r="U49" s="374">
        <f>Enter!B36</f>
        <v>652200</v>
      </c>
      <c r="V49" s="375"/>
      <c r="W49" s="375"/>
      <c r="X49" s="376"/>
      <c r="Y49" s="102">
        <f>Enter!F36</f>
        <v>337010</v>
      </c>
      <c r="Z49" s="102">
        <f>Enter!G36</f>
        <v>0</v>
      </c>
      <c r="AA49" s="102">
        <f>Enter!H36</f>
        <v>51600</v>
      </c>
      <c r="AB49" s="102">
        <f>Enter!I36</f>
        <v>0</v>
      </c>
      <c r="AC49" s="102">
        <f>Enter!J36</f>
        <v>0</v>
      </c>
      <c r="AD49" s="102">
        <f>Enter!K36</f>
        <v>0</v>
      </c>
      <c r="AE49" s="102">
        <f>Enter!L36</f>
        <v>3600</v>
      </c>
      <c r="AF49" s="102">
        <f>Enter!M36</f>
        <v>1044410</v>
      </c>
      <c r="AG49" s="102">
        <f>Enter!N36</f>
        <v>98920</v>
      </c>
      <c r="AH49" s="102">
        <f>Enter!O36</f>
        <v>0</v>
      </c>
      <c r="AI49" s="102">
        <f>Enter!P36</f>
        <v>1320</v>
      </c>
      <c r="AJ49" s="102">
        <f>Enter!Q36</f>
        <v>840</v>
      </c>
      <c r="AK49" s="102">
        <f>Enter!R36</f>
        <v>0</v>
      </c>
      <c r="AL49" s="102">
        <f>Enter!S36</f>
        <v>0</v>
      </c>
      <c r="AM49" s="102">
        <f>Enter!T36</f>
        <v>2500</v>
      </c>
      <c r="AN49" s="102">
        <f>Enter!U36</f>
        <v>44107</v>
      </c>
      <c r="AO49" s="203">
        <f>Enter!V36</f>
        <v>1764</v>
      </c>
      <c r="AP49" s="63"/>
      <c r="AQ49" s="63"/>
      <c r="AR49" s="63"/>
      <c r="AS49" s="63"/>
      <c r="AT49" s="63"/>
      <c r="AU49" s="103"/>
      <c r="AV49" s="85"/>
      <c r="AW49" s="63"/>
      <c r="AX49" s="64"/>
      <c r="AY49" s="64"/>
      <c r="AZ49" s="65"/>
      <c r="BA49" s="65"/>
      <c r="BB49" s="65"/>
      <c r="BC49" s="65"/>
      <c r="BD49" s="65"/>
      <c r="BE49" s="65"/>
      <c r="BF49" s="65"/>
    </row>
    <row r="50" spans="1:58" ht="12.95" customHeight="1">
      <c r="A50" s="79" t="s">
        <v>159</v>
      </c>
      <c r="C50" s="58" t="s">
        <v>160</v>
      </c>
      <c r="G50" s="215"/>
      <c r="H50" s="215"/>
      <c r="I50" s="215"/>
      <c r="J50" s="215"/>
      <c r="K50" s="215"/>
      <c r="L50" s="245"/>
      <c r="M50" s="246"/>
      <c r="N50" s="246"/>
      <c r="O50" s="247"/>
      <c r="P50" s="248" t="s">
        <v>39</v>
      </c>
      <c r="Q50" s="429">
        <f>Q48-Q49</f>
        <v>30882</v>
      </c>
      <c r="R50" s="430"/>
      <c r="S50" s="115"/>
      <c r="T50" s="93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7"/>
      <c r="AG50" s="116"/>
      <c r="AH50" s="116"/>
      <c r="AI50" s="116"/>
      <c r="AJ50" s="116"/>
      <c r="AK50" s="116"/>
      <c r="AL50" s="116"/>
      <c r="AM50" s="118"/>
      <c r="AN50" s="118"/>
      <c r="AO50" s="200"/>
      <c r="AP50" s="63"/>
      <c r="AQ50" s="63"/>
      <c r="AR50" s="63"/>
      <c r="AS50" s="63"/>
      <c r="AT50" s="63"/>
      <c r="AU50" s="103"/>
      <c r="AV50" s="85"/>
      <c r="AW50" s="63"/>
      <c r="AX50" s="64"/>
      <c r="AY50" s="64"/>
      <c r="AZ50" s="65"/>
      <c r="BA50" s="65"/>
      <c r="BB50" s="65"/>
      <c r="BC50" s="65"/>
      <c r="BD50" s="65"/>
      <c r="BE50" s="65"/>
      <c r="BF50" s="65"/>
    </row>
    <row r="51" spans="1:58" ht="12.95" customHeight="1">
      <c r="A51" s="79" t="s">
        <v>161</v>
      </c>
      <c r="G51" s="215"/>
      <c r="H51" s="215"/>
      <c r="I51" s="215"/>
      <c r="J51" s="215"/>
      <c r="K51" s="215"/>
      <c r="L51" s="245"/>
      <c r="M51" s="246"/>
      <c r="N51" s="246"/>
      <c r="O51" s="247"/>
      <c r="P51" s="248" t="s">
        <v>39</v>
      </c>
      <c r="Q51" s="429">
        <f>ROUND((Q50*0.04),0)</f>
        <v>1235</v>
      </c>
      <c r="R51" s="430"/>
      <c r="S51" s="78"/>
      <c r="T51" s="93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7"/>
      <c r="AG51" s="116"/>
      <c r="AH51" s="116"/>
      <c r="AI51" s="116"/>
      <c r="AJ51" s="116"/>
      <c r="AK51" s="116"/>
      <c r="AL51" s="116"/>
      <c r="AM51" s="116"/>
      <c r="AN51" s="116"/>
      <c r="AO51" s="201"/>
      <c r="AP51" s="63"/>
      <c r="AQ51" s="63">
        <v>15</v>
      </c>
      <c r="AR51" s="63" t="s">
        <v>162</v>
      </c>
      <c r="AS51" s="63"/>
      <c r="AT51" s="63"/>
      <c r="AU51" s="103">
        <f>AV47*3%</f>
        <v>926.45999999999992</v>
      </c>
      <c r="AV51" s="103">
        <f>ROUND(AU51,0)</f>
        <v>926</v>
      </c>
      <c r="AW51" s="63"/>
      <c r="AX51" s="64"/>
      <c r="AY51" s="64"/>
      <c r="AZ51" s="65"/>
      <c r="BA51" s="65"/>
      <c r="BB51" s="65"/>
      <c r="BC51" s="65"/>
      <c r="BD51" s="65"/>
      <c r="BE51" s="65"/>
      <c r="BF51" s="65"/>
    </row>
    <row r="52" spans="1:58" ht="12.95" customHeight="1">
      <c r="A52" s="79"/>
      <c r="G52" s="215"/>
      <c r="H52" s="215"/>
      <c r="I52" s="215"/>
      <c r="J52" s="215"/>
      <c r="K52" s="215"/>
      <c r="L52" s="438" t="s">
        <v>163</v>
      </c>
      <c r="M52" s="439"/>
      <c r="N52" s="439"/>
      <c r="O52" s="459"/>
      <c r="P52" s="438" t="s">
        <v>164</v>
      </c>
      <c r="Q52" s="439"/>
      <c r="R52" s="440"/>
      <c r="S52" s="78"/>
      <c r="T52" s="93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7"/>
      <c r="AG52" s="116"/>
      <c r="AH52" s="116"/>
      <c r="AI52" s="116"/>
      <c r="AJ52" s="116"/>
      <c r="AK52" s="116"/>
      <c r="AL52" s="116"/>
      <c r="AM52" s="116"/>
      <c r="AN52" s="116"/>
      <c r="AO52" s="201"/>
      <c r="AP52" s="63"/>
      <c r="AQ52" s="63"/>
      <c r="AR52" s="63"/>
      <c r="AS52" s="63"/>
      <c r="AT52" s="63"/>
      <c r="AU52" s="103"/>
      <c r="AV52" s="103"/>
      <c r="AW52" s="63"/>
      <c r="AX52" s="64"/>
      <c r="AY52" s="64"/>
      <c r="AZ52" s="65"/>
      <c r="BA52" s="65"/>
      <c r="BB52" s="65"/>
      <c r="BC52" s="65"/>
      <c r="BD52" s="65"/>
      <c r="BE52" s="65"/>
      <c r="BF52" s="65"/>
    </row>
    <row r="53" spans="1:58" ht="12.95" customHeight="1">
      <c r="A53" s="79" t="s">
        <v>165</v>
      </c>
      <c r="G53" s="215"/>
      <c r="H53" s="215"/>
      <c r="I53" s="215"/>
      <c r="J53" s="215"/>
      <c r="K53" s="215"/>
      <c r="L53" s="249" t="s">
        <v>39</v>
      </c>
      <c r="M53" s="431">
        <f>Q50</f>
        <v>30882</v>
      </c>
      <c r="N53" s="431"/>
      <c r="O53" s="432"/>
      <c r="P53" s="248" t="s">
        <v>39</v>
      </c>
      <c r="Q53" s="429">
        <f>Q51</f>
        <v>1235</v>
      </c>
      <c r="R53" s="430"/>
      <c r="S53" s="115"/>
      <c r="T53" s="119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164"/>
      <c r="AG53" s="96"/>
      <c r="AH53" s="96"/>
      <c r="AI53" s="96"/>
      <c r="AJ53" s="96"/>
      <c r="AK53" s="96"/>
      <c r="AL53" s="96"/>
      <c r="AM53" s="96"/>
      <c r="AN53" s="96"/>
      <c r="AO53" s="202"/>
      <c r="AP53" s="63"/>
      <c r="AQ53" s="63">
        <v>14</v>
      </c>
      <c r="AR53" s="63" t="s">
        <v>166</v>
      </c>
      <c r="AS53" s="63"/>
      <c r="AT53" s="63"/>
      <c r="AU53" s="63"/>
      <c r="AV53" s="103" t="s">
        <v>167</v>
      </c>
      <c r="AW53" s="63"/>
      <c r="AX53" s="64"/>
      <c r="AY53" s="64"/>
      <c r="AZ53" s="65"/>
      <c r="BA53" s="65"/>
      <c r="BB53" s="65"/>
      <c r="BC53" s="65"/>
      <c r="BD53" s="65"/>
      <c r="BE53" s="65"/>
      <c r="BF53" s="65"/>
    </row>
    <row r="54" spans="1:58" ht="12.95" customHeight="1">
      <c r="A54" s="79" t="s">
        <v>168</v>
      </c>
      <c r="G54" s="215"/>
      <c r="H54" s="215"/>
      <c r="I54" s="215"/>
      <c r="J54" s="215"/>
      <c r="K54" s="215"/>
      <c r="L54" s="249" t="s">
        <v>39</v>
      </c>
      <c r="M54" s="431">
        <f>Enter!H74</f>
        <v>0</v>
      </c>
      <c r="N54" s="431"/>
      <c r="O54" s="432"/>
      <c r="P54" s="248" t="s">
        <v>39</v>
      </c>
      <c r="Q54" s="452">
        <f>Enter!J76</f>
        <v>0</v>
      </c>
      <c r="R54" s="453"/>
      <c r="S54" s="78"/>
      <c r="T54" s="119"/>
      <c r="U54" s="252" t="s">
        <v>169</v>
      </c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164"/>
      <c r="AG54" s="96"/>
      <c r="AH54" s="96"/>
      <c r="AI54" s="96"/>
      <c r="AJ54" s="96"/>
      <c r="AK54" s="96"/>
      <c r="AL54" s="96"/>
      <c r="AM54" s="96"/>
      <c r="AN54" s="96"/>
      <c r="AO54" s="202"/>
      <c r="AP54" s="63"/>
      <c r="AQ54" s="63">
        <v>16</v>
      </c>
      <c r="AR54" s="63" t="s">
        <v>170</v>
      </c>
      <c r="AS54" s="63"/>
      <c r="AT54" s="63"/>
      <c r="AU54" s="103" t="s">
        <v>120</v>
      </c>
      <c r="AV54" s="85">
        <f>AV48+AV51</f>
        <v>31808</v>
      </c>
      <c r="AW54" s="63"/>
      <c r="AX54" s="64"/>
      <c r="AY54" s="64"/>
      <c r="AZ54" s="65"/>
      <c r="BA54" s="65"/>
      <c r="BB54" s="65"/>
      <c r="BC54" s="65"/>
      <c r="BD54" s="65"/>
      <c r="BE54" s="65"/>
      <c r="BF54" s="65"/>
    </row>
    <row r="55" spans="1:58" ht="12.95" customHeight="1">
      <c r="A55" s="79" t="s">
        <v>171</v>
      </c>
      <c r="G55" s="215"/>
      <c r="H55" s="215"/>
      <c r="I55" s="215"/>
      <c r="J55" s="215"/>
      <c r="K55" s="215"/>
      <c r="L55" s="249" t="s">
        <v>39</v>
      </c>
      <c r="M55" s="431">
        <f>AN49</f>
        <v>44107</v>
      </c>
      <c r="N55" s="431"/>
      <c r="O55" s="432"/>
      <c r="P55" s="248" t="s">
        <v>39</v>
      </c>
      <c r="Q55" s="429">
        <f>AO49</f>
        <v>1764</v>
      </c>
      <c r="R55" s="430"/>
      <c r="S55" s="78"/>
      <c r="T55" s="100"/>
      <c r="U55" s="252" t="s">
        <v>172</v>
      </c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96"/>
      <c r="AL55" s="164"/>
      <c r="AM55" s="96"/>
      <c r="AN55" s="96"/>
      <c r="AO55" s="202"/>
      <c r="AP55" s="63"/>
      <c r="AQ55" s="63">
        <v>17</v>
      </c>
      <c r="AR55" s="63" t="s">
        <v>173</v>
      </c>
      <c r="AS55" s="63"/>
      <c r="AT55" s="85">
        <f>AX55</f>
        <v>0</v>
      </c>
      <c r="AU55" s="120" t="s">
        <v>174</v>
      </c>
      <c r="AV55" s="110" t="str">
        <f>IF(AT55=0,"NIL",IF(AT55&gt;0,AT55))</f>
        <v>NIL</v>
      </c>
      <c r="AW55" s="63"/>
      <c r="AX55" s="64"/>
      <c r="AY55" s="64"/>
      <c r="AZ55" s="65"/>
      <c r="BA55" s="65"/>
      <c r="BB55" s="65"/>
      <c r="BC55" s="65"/>
      <c r="BD55" s="65"/>
      <c r="BE55" s="65"/>
      <c r="BF55" s="65"/>
    </row>
    <row r="56" spans="1:58" ht="12.95" customHeight="1">
      <c r="A56" s="79" t="s">
        <v>175</v>
      </c>
      <c r="G56" s="215"/>
      <c r="H56" s="215"/>
      <c r="I56" s="215"/>
      <c r="J56" s="215"/>
      <c r="K56" s="215"/>
      <c r="L56" s="249" t="s">
        <v>39</v>
      </c>
      <c r="M56" s="431">
        <f>Enter!H76</f>
        <v>0</v>
      </c>
      <c r="N56" s="431"/>
      <c r="O56" s="432"/>
      <c r="P56" s="248" t="s">
        <v>39</v>
      </c>
      <c r="Q56" s="429">
        <f>Enter!J76</f>
        <v>0</v>
      </c>
      <c r="R56" s="430"/>
      <c r="S56" s="78"/>
      <c r="T56" s="100"/>
      <c r="U56" s="252" t="s">
        <v>176</v>
      </c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164"/>
      <c r="AG56" s="96"/>
      <c r="AH56" s="96"/>
      <c r="AI56" s="96"/>
      <c r="AJ56" s="96"/>
      <c r="AK56" s="96"/>
      <c r="AL56" s="96"/>
      <c r="AM56" s="96"/>
      <c r="AN56" s="96"/>
      <c r="AO56" s="202"/>
      <c r="AP56" s="63"/>
      <c r="AQ56" s="63"/>
      <c r="AR56" s="63"/>
      <c r="AS56" s="63"/>
      <c r="AT56" s="63"/>
      <c r="AU56" s="63"/>
      <c r="AV56" s="63"/>
      <c r="AW56" s="63"/>
      <c r="AX56" s="64"/>
      <c r="AY56" s="64"/>
      <c r="AZ56" s="65"/>
      <c r="BA56" s="65"/>
      <c r="BB56" s="65"/>
      <c r="BC56" s="65"/>
      <c r="BD56" s="65"/>
      <c r="BE56" s="65"/>
      <c r="BF56" s="65"/>
    </row>
    <row r="57" spans="1:58" ht="12.95" customHeight="1">
      <c r="A57" s="79" t="s">
        <v>177</v>
      </c>
      <c r="G57" s="215"/>
      <c r="H57" s="215"/>
      <c r="I57" s="215"/>
      <c r="J57" s="215"/>
      <c r="K57" s="215"/>
      <c r="L57" s="250" t="s">
        <v>39</v>
      </c>
      <c r="M57" s="413">
        <f>M53-(M54+M55+M56)</f>
        <v>-13225</v>
      </c>
      <c r="N57" s="413"/>
      <c r="O57" s="414"/>
      <c r="P57" s="251" t="s">
        <v>39</v>
      </c>
      <c r="Q57" s="415">
        <f>Q53-(Q54+Q55+Q56)</f>
        <v>-529</v>
      </c>
      <c r="R57" s="416"/>
      <c r="S57" s="115"/>
      <c r="T57" s="100"/>
      <c r="U57" s="252" t="s">
        <v>178</v>
      </c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164"/>
      <c r="AG57" s="96"/>
      <c r="AH57" s="96"/>
      <c r="AI57" s="94" t="s">
        <v>125</v>
      </c>
      <c r="AJ57" s="96"/>
      <c r="AL57" s="96"/>
      <c r="AM57" s="96"/>
      <c r="AN57" s="96"/>
      <c r="AO57" s="202"/>
      <c r="AP57" s="63"/>
      <c r="AQ57" s="63"/>
      <c r="AR57" s="63"/>
      <c r="AS57" s="63"/>
      <c r="AT57" s="63"/>
      <c r="AU57" s="63"/>
      <c r="AV57" s="63"/>
      <c r="AW57" s="63"/>
      <c r="AX57" s="64"/>
      <c r="AY57" s="64"/>
      <c r="AZ57" s="65"/>
      <c r="BA57" s="65"/>
      <c r="BB57" s="65"/>
      <c r="BC57" s="65"/>
      <c r="BD57" s="65"/>
      <c r="BE57" s="65"/>
      <c r="BF57" s="65"/>
    </row>
    <row r="58" spans="1:58" ht="12.95" customHeight="1" thickBot="1">
      <c r="A58" s="205" t="s">
        <v>192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7"/>
      <c r="P58" s="208" t="s">
        <v>39</v>
      </c>
      <c r="Q58" s="442">
        <f>M57+Q57</f>
        <v>-13754</v>
      </c>
      <c r="R58" s="443"/>
      <c r="S58" s="206"/>
      <c r="T58" s="209"/>
      <c r="U58" s="253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10"/>
      <c r="AG58" s="206"/>
      <c r="AH58" s="206"/>
      <c r="AI58" s="206"/>
      <c r="AJ58" s="206"/>
      <c r="AK58" s="206"/>
      <c r="AL58" s="206"/>
      <c r="AM58" s="206"/>
      <c r="AN58" s="206"/>
      <c r="AO58" s="211"/>
      <c r="AP58" s="63"/>
      <c r="AQ58" s="63"/>
      <c r="AR58" s="63"/>
      <c r="AS58" s="63"/>
      <c r="AT58" s="63"/>
      <c r="AU58" s="63"/>
      <c r="AV58" s="63"/>
      <c r="AW58" s="63"/>
      <c r="AX58" s="64"/>
      <c r="AY58" s="64"/>
      <c r="AZ58" s="65"/>
      <c r="BA58" s="65"/>
      <c r="BB58" s="65"/>
      <c r="BC58" s="65"/>
      <c r="BD58" s="65"/>
      <c r="BE58" s="65"/>
      <c r="BF58" s="65"/>
    </row>
    <row r="59" spans="1:58" ht="1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1"/>
      <c r="AG59" s="65"/>
      <c r="AH59" s="65"/>
      <c r="AI59" s="65"/>
      <c r="AJ59" s="65"/>
      <c r="AK59" s="65"/>
      <c r="AL59" s="65"/>
      <c r="AM59" s="65"/>
      <c r="AN59" s="65"/>
      <c r="AO59" s="63"/>
      <c r="AP59" s="63"/>
      <c r="AQ59" s="63"/>
      <c r="AR59" s="63"/>
      <c r="AS59" s="63"/>
      <c r="AT59" s="63"/>
      <c r="AU59" s="63"/>
      <c r="AV59" s="63">
        <v>5000</v>
      </c>
      <c r="AW59" s="63"/>
      <c r="AX59" s="64"/>
      <c r="AY59" s="64"/>
      <c r="AZ59" s="65"/>
      <c r="BA59" s="65"/>
      <c r="BB59" s="65"/>
      <c r="BC59" s="65"/>
      <c r="BD59" s="65"/>
      <c r="BE59" s="65"/>
      <c r="BF59" s="65"/>
    </row>
    <row r="60" spans="1:58" ht="1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1"/>
      <c r="AG60" s="65"/>
      <c r="AH60" s="65"/>
      <c r="AI60" s="65"/>
      <c r="AJ60" s="65"/>
      <c r="AK60" s="65"/>
      <c r="AL60" s="65"/>
      <c r="AM60" s="65"/>
      <c r="AN60" s="65"/>
      <c r="AO60" s="63"/>
      <c r="AP60" s="63"/>
      <c r="AQ60" s="63"/>
      <c r="AR60" s="63"/>
      <c r="AS60" s="63"/>
      <c r="AT60" s="63"/>
      <c r="AU60" s="63"/>
      <c r="AV60" s="63">
        <v>0</v>
      </c>
      <c r="AW60" s="63"/>
      <c r="AX60" s="64"/>
      <c r="AY60" s="64"/>
      <c r="AZ60" s="65"/>
      <c r="BA60" s="65"/>
      <c r="BB60" s="65"/>
      <c r="BC60" s="65"/>
      <c r="BD60" s="65"/>
      <c r="BE60" s="65"/>
      <c r="BF60" s="65"/>
    </row>
    <row r="61" spans="1:58" ht="1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121"/>
      <c r="S61" s="121"/>
      <c r="T61" s="121"/>
      <c r="V61" s="121"/>
      <c r="W61" s="121"/>
      <c r="X61" s="121" t="e">
        <f>SUM(#REF!)</f>
        <v>#REF!</v>
      </c>
      <c r="Y61" s="121"/>
      <c r="Z61" s="121"/>
      <c r="AA61" s="121"/>
      <c r="AB61" s="121"/>
      <c r="AC61" s="121"/>
      <c r="AD61" s="121"/>
      <c r="AE61" s="121"/>
      <c r="AF61" s="122" t="e">
        <f>SUM(#REF!)</f>
        <v>#REF!</v>
      </c>
      <c r="AG61" s="65"/>
      <c r="AH61" s="65"/>
      <c r="AI61" s="65"/>
      <c r="AJ61" s="65"/>
      <c r="AK61" s="65"/>
      <c r="AL61" s="65"/>
      <c r="AM61" s="65"/>
      <c r="AN61" s="65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5"/>
      <c r="BA61" s="65"/>
      <c r="BB61" s="65"/>
      <c r="BC61" s="65"/>
      <c r="BD61" s="65"/>
      <c r="BE61" s="65"/>
      <c r="BF61" s="65"/>
    </row>
    <row r="62" spans="1:58" ht="1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123">
        <f>SUM(Q57-AV54)</f>
        <v>-32337</v>
      </c>
      <c r="S62" s="121"/>
      <c r="T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2"/>
      <c r="AG62" s="65"/>
      <c r="AH62" s="65"/>
      <c r="AI62" s="65"/>
      <c r="AJ62" s="65"/>
      <c r="AK62" s="65"/>
      <c r="AL62" s="65"/>
      <c r="AM62" s="65"/>
      <c r="AN62" s="65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5"/>
      <c r="BA62" s="65"/>
      <c r="BB62" s="65"/>
      <c r="BC62" s="65"/>
      <c r="BD62" s="65"/>
      <c r="BE62" s="65"/>
      <c r="BF62" s="65"/>
    </row>
    <row r="63" spans="1:58" ht="1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1"/>
      <c r="AG63" s="65"/>
      <c r="AH63" s="65"/>
      <c r="AI63" s="65"/>
      <c r="AJ63" s="65"/>
      <c r="AK63" s="65"/>
      <c r="AL63" s="65"/>
      <c r="AM63" s="65"/>
      <c r="AN63" s="65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5"/>
      <c r="BA63" s="65"/>
      <c r="BB63" s="65"/>
      <c r="BC63" s="65"/>
      <c r="BD63" s="65"/>
      <c r="BE63" s="65"/>
      <c r="BF63" s="65"/>
    </row>
    <row r="64" spans="1:58" ht="1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1"/>
      <c r="AG64" s="65"/>
      <c r="AH64" s="65"/>
      <c r="AI64" s="65"/>
      <c r="AJ64" s="65"/>
      <c r="AK64" s="65"/>
      <c r="AL64" s="65"/>
      <c r="AM64" s="65"/>
      <c r="AN64" s="65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5"/>
      <c r="BA64" s="65"/>
      <c r="BB64" s="65"/>
      <c r="BC64" s="65"/>
      <c r="BD64" s="65"/>
      <c r="BE64" s="65"/>
      <c r="BF64" s="65"/>
    </row>
    <row r="65" spans="1:58" ht="1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1"/>
      <c r="AG65" s="65"/>
      <c r="AH65" s="65"/>
      <c r="AI65" s="65"/>
      <c r="AJ65" s="65"/>
      <c r="AK65" s="65"/>
      <c r="AL65" s="65"/>
      <c r="AM65" s="65"/>
      <c r="AN65" s="65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5"/>
      <c r="BA65" s="65"/>
      <c r="BB65" s="65"/>
      <c r="BC65" s="65"/>
      <c r="BD65" s="65"/>
      <c r="BE65" s="65"/>
      <c r="BF65" s="65"/>
    </row>
    <row r="66" spans="1:58" ht="1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5"/>
      <c r="BA66" s="65"/>
      <c r="BB66" s="65"/>
      <c r="BC66" s="65"/>
      <c r="BD66" s="65"/>
      <c r="BE66" s="65"/>
      <c r="BF66" s="65"/>
    </row>
    <row r="67" spans="1:58" ht="1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5"/>
      <c r="BA67" s="65"/>
      <c r="BB67" s="65"/>
      <c r="BC67" s="65"/>
      <c r="BD67" s="65"/>
      <c r="BE67" s="65"/>
      <c r="BF67" s="65"/>
    </row>
    <row r="68" spans="1:58" ht="1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5"/>
      <c r="BA68" s="65"/>
      <c r="BB68" s="65"/>
      <c r="BC68" s="65"/>
      <c r="BD68" s="65"/>
      <c r="BE68" s="65"/>
      <c r="BF68" s="65"/>
    </row>
    <row r="69" spans="1:58" ht="1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5"/>
      <c r="BA69" s="65"/>
      <c r="BB69" s="65"/>
      <c r="BC69" s="65"/>
      <c r="BD69" s="65"/>
      <c r="BE69" s="65"/>
      <c r="BF69" s="65"/>
    </row>
    <row r="70" spans="1:58" ht="1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</row>
    <row r="71" spans="1:58" ht="1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</row>
    <row r="72" spans="1:58" ht="1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</row>
    <row r="73" spans="1:58" ht="1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</row>
    <row r="74" spans="1:58" ht="1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</row>
    <row r="75" spans="1:58" ht="1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</row>
    <row r="76" spans="1:58" ht="1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</row>
    <row r="77" spans="1:58" ht="1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</row>
    <row r="78" spans="1:58" ht="1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</row>
    <row r="79" spans="1:58" ht="1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</row>
    <row r="80" spans="1:58" ht="1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</row>
    <row r="81" spans="1:58" ht="1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</row>
    <row r="82" spans="1:58" ht="1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</row>
    <row r="83" spans="1:58" ht="1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</row>
    <row r="84" spans="1:58" ht="1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</row>
    <row r="85" spans="1:58" ht="15" customHeight="1">
      <c r="AF85" s="58"/>
    </row>
    <row r="86" spans="1:58" ht="15" customHeight="1">
      <c r="AF86" s="58"/>
    </row>
    <row r="87" spans="1:58" ht="15" customHeight="1">
      <c r="AF87" s="58"/>
    </row>
    <row r="88" spans="1:58" ht="15" customHeight="1">
      <c r="AF88" s="58"/>
    </row>
    <row r="89" spans="1:58" ht="15" customHeight="1"/>
    <row r="90" spans="1:58" ht="15" customHeight="1"/>
    <row r="91" spans="1:58" ht="15" customHeight="1"/>
  </sheetData>
  <protectedRanges>
    <protectedRange password="CC4D" sqref="AP46:AU46 AW46:AX46 AP47:AX61 AP29:AX45 AO29:AO39 AO50:AO61 AO1:AX28" name="Range1_1_1"/>
    <protectedRange password="CC4D" sqref="AV46" name="Range1_1_1_1"/>
  </protectedRanges>
  <mergeCells count="191">
    <mergeCell ref="I40:K40"/>
    <mergeCell ref="T1:AO1"/>
    <mergeCell ref="N4:R4"/>
    <mergeCell ref="A1:R1"/>
    <mergeCell ref="Y5:AA5"/>
    <mergeCell ref="AH9:AO9"/>
    <mergeCell ref="U10:X10"/>
    <mergeCell ref="Q7:R7"/>
    <mergeCell ref="I10:K10"/>
    <mergeCell ref="AB8:AE8"/>
    <mergeCell ref="AB9:AE9"/>
    <mergeCell ref="Y9:AA9"/>
    <mergeCell ref="U9:X9"/>
    <mergeCell ref="Y10:AA10"/>
    <mergeCell ref="AB10:AE10"/>
    <mergeCell ref="AH10:AO10"/>
    <mergeCell ref="AH6:AO6"/>
    <mergeCell ref="U3:X3"/>
    <mergeCell ref="Y2:AA2"/>
    <mergeCell ref="Y3:AA3"/>
    <mergeCell ref="N3:R3"/>
    <mergeCell ref="AB3:AE3"/>
    <mergeCell ref="AH3:AO3"/>
    <mergeCell ref="T2:X2"/>
    <mergeCell ref="U41:X41"/>
    <mergeCell ref="U26:X27"/>
    <mergeCell ref="I21:K21"/>
    <mergeCell ref="J45:K45"/>
    <mergeCell ref="M18:O18"/>
    <mergeCell ref="I28:K28"/>
    <mergeCell ref="U25:AF25"/>
    <mergeCell ref="AO26:AO27"/>
    <mergeCell ref="I26:K26"/>
    <mergeCell ref="AK26:AK27"/>
    <mergeCell ref="I33:K33"/>
    <mergeCell ref="AE26:AE27"/>
    <mergeCell ref="AI26:AI27"/>
    <mergeCell ref="AF26:AF27"/>
    <mergeCell ref="AG26:AG27"/>
    <mergeCell ref="AM26:AM27"/>
    <mergeCell ref="AN26:AN27"/>
    <mergeCell ref="I27:K27"/>
    <mergeCell ref="U28:X28"/>
    <mergeCell ref="M28:O28"/>
    <mergeCell ref="U32:X32"/>
    <mergeCell ref="U42:X42"/>
    <mergeCell ref="I35:K35"/>
    <mergeCell ref="I39:K39"/>
    <mergeCell ref="J46:K46"/>
    <mergeCell ref="Q48:R48"/>
    <mergeCell ref="Q53:R53"/>
    <mergeCell ref="J47:K47"/>
    <mergeCell ref="Q45:R45"/>
    <mergeCell ref="L52:O52"/>
    <mergeCell ref="Q47:R47"/>
    <mergeCell ref="M47:O47"/>
    <mergeCell ref="M41:O41"/>
    <mergeCell ref="Q58:R58"/>
    <mergeCell ref="Q8:R8"/>
    <mergeCell ref="D4:I4"/>
    <mergeCell ref="AB2:AG2"/>
    <mergeCell ref="AH4:AO4"/>
    <mergeCell ref="A3:C3"/>
    <mergeCell ref="AH13:AK13"/>
    <mergeCell ref="I20:K20"/>
    <mergeCell ref="AN21:AO21"/>
    <mergeCell ref="U36:X36"/>
    <mergeCell ref="M46:O46"/>
    <mergeCell ref="Q49:R49"/>
    <mergeCell ref="Q50:R50"/>
    <mergeCell ref="U31:X31"/>
    <mergeCell ref="G43:I43"/>
    <mergeCell ref="U45:X45"/>
    <mergeCell ref="Z26:Z27"/>
    <mergeCell ref="I36:K36"/>
    <mergeCell ref="U37:X37"/>
    <mergeCell ref="AB26:AB27"/>
    <mergeCell ref="I31:K31"/>
    <mergeCell ref="U35:X35"/>
    <mergeCell ref="M54:O54"/>
    <mergeCell ref="Q54:R54"/>
    <mergeCell ref="U38:X38"/>
    <mergeCell ref="Q42:R42"/>
    <mergeCell ref="G45:H45"/>
    <mergeCell ref="Q55:R55"/>
    <mergeCell ref="M56:O56"/>
    <mergeCell ref="U46:X46"/>
    <mergeCell ref="Q56:R56"/>
    <mergeCell ref="Q46:R46"/>
    <mergeCell ref="M55:O55"/>
    <mergeCell ref="U49:X49"/>
    <mergeCell ref="Q51:R51"/>
    <mergeCell ref="G47:H47"/>
    <mergeCell ref="G46:H46"/>
    <mergeCell ref="I41:K41"/>
    <mergeCell ref="G44:H44"/>
    <mergeCell ref="I38:K38"/>
    <mergeCell ref="U40:X40"/>
    <mergeCell ref="U39:X39"/>
    <mergeCell ref="Q41:R41"/>
    <mergeCell ref="P52:R52"/>
    <mergeCell ref="M53:O53"/>
    <mergeCell ref="U48:X48"/>
    <mergeCell ref="U47:X47"/>
    <mergeCell ref="M45:O45"/>
    <mergeCell ref="I37:K37"/>
    <mergeCell ref="Q43:R43"/>
    <mergeCell ref="U43:X43"/>
    <mergeCell ref="Q44:R44"/>
    <mergeCell ref="U44:X44"/>
    <mergeCell ref="M40:O40"/>
    <mergeCell ref="M57:O57"/>
    <mergeCell ref="Q57:R57"/>
    <mergeCell ref="AH2:AO2"/>
    <mergeCell ref="Y6:AA6"/>
    <mergeCell ref="U5:X5"/>
    <mergeCell ref="AB5:AE5"/>
    <mergeCell ref="I12:K12"/>
    <mergeCell ref="T13:Y13"/>
    <mergeCell ref="I14:K14"/>
    <mergeCell ref="T14:Y14"/>
    <mergeCell ref="Q15:R15"/>
    <mergeCell ref="I25:K25"/>
    <mergeCell ref="AG25:AO25"/>
    <mergeCell ref="Z13:AG13"/>
    <mergeCell ref="I23:K23"/>
    <mergeCell ref="T24:AO24"/>
    <mergeCell ref="AH26:AH27"/>
    <mergeCell ref="N5:R5"/>
    <mergeCell ref="I24:K24"/>
    <mergeCell ref="AN22:AO22"/>
    <mergeCell ref="I19:K19"/>
    <mergeCell ref="T25:T27"/>
    <mergeCell ref="A24:G24"/>
    <mergeCell ref="Y4:AA4"/>
    <mergeCell ref="AL13:AO13"/>
    <mergeCell ref="T12:AO12"/>
    <mergeCell ref="AH11:AO11"/>
    <mergeCell ref="AB11:AG11"/>
    <mergeCell ref="AH8:AO8"/>
    <mergeCell ref="U4:X4"/>
    <mergeCell ref="AB4:AE4"/>
    <mergeCell ref="A6:I6"/>
    <mergeCell ref="C5:I5"/>
    <mergeCell ref="AN15:AO15"/>
    <mergeCell ref="U8:X8"/>
    <mergeCell ref="AH5:AO5"/>
    <mergeCell ref="N6:R6"/>
    <mergeCell ref="AH20:AO20"/>
    <mergeCell ref="Q18:R18"/>
    <mergeCell ref="Q21:R21"/>
    <mergeCell ref="Z14:AG14"/>
    <mergeCell ref="I16:K16"/>
    <mergeCell ref="I34:K34"/>
    <mergeCell ref="AJ26:AJ27"/>
    <mergeCell ref="AL14:AO14"/>
    <mergeCell ref="W11:X11"/>
    <mergeCell ref="I13:K13"/>
    <mergeCell ref="Y8:AA8"/>
    <mergeCell ref="U30:X30"/>
    <mergeCell ref="I32:K32"/>
    <mergeCell ref="Y26:Y27"/>
    <mergeCell ref="AN18:AO18"/>
    <mergeCell ref="Y11:AA11"/>
    <mergeCell ref="I18:K18"/>
    <mergeCell ref="AN16:AO16"/>
    <mergeCell ref="I17:K17"/>
    <mergeCell ref="AN17:AO17"/>
    <mergeCell ref="I29:K29"/>
    <mergeCell ref="AL26:AL27"/>
    <mergeCell ref="AD26:AD27"/>
    <mergeCell ref="U34:X34"/>
    <mergeCell ref="U33:X33"/>
    <mergeCell ref="AA26:AA27"/>
    <mergeCell ref="Q28:R28"/>
    <mergeCell ref="U29:X29"/>
    <mergeCell ref="AC26:AC27"/>
    <mergeCell ref="I11:K11"/>
    <mergeCell ref="AH14:AK14"/>
    <mergeCell ref="L21:O21"/>
    <mergeCell ref="AN19:AO19"/>
    <mergeCell ref="AC16:AE16"/>
    <mergeCell ref="T23:AO23"/>
    <mergeCell ref="M8:O8"/>
    <mergeCell ref="AB6:AE6"/>
    <mergeCell ref="AB7:AE7"/>
    <mergeCell ref="Y7:AA7"/>
    <mergeCell ref="U7:X7"/>
    <mergeCell ref="U6:X6"/>
    <mergeCell ref="AH7:AO7"/>
    <mergeCell ref="I7:K7"/>
  </mergeCells>
  <pageMargins left="0.31496062992125984" right="0.19685039370078741" top="0.23622047244094491" bottom="0.23622047244094491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Y97"/>
  <sheetViews>
    <sheetView topLeftCell="A59" workbookViewId="0">
      <selection activeCell="A26" sqref="A26"/>
    </sheetView>
  </sheetViews>
  <sheetFormatPr defaultColWidth="9" defaultRowHeight="15"/>
  <cols>
    <col min="1" max="1" width="9.28515625" style="58" customWidth="1"/>
    <col min="2" max="2" width="7.140625" style="58" customWidth="1"/>
    <col min="3" max="3" width="5" style="58" customWidth="1"/>
    <col min="4" max="4" width="6.140625" style="58" customWidth="1"/>
    <col min="5" max="5" width="9.42578125" style="58" hidden="1" customWidth="1"/>
    <col min="6" max="6" width="0.140625" style="58" hidden="1" customWidth="1"/>
    <col min="7" max="7" width="10.140625" style="58" customWidth="1"/>
    <col min="8" max="8" width="6.42578125" style="58" customWidth="1"/>
    <col min="9" max="9" width="7.85546875" style="58" customWidth="1"/>
    <col min="10" max="10" width="5.42578125" style="58" customWidth="1"/>
    <col min="11" max="11" width="5.5703125" style="58" customWidth="1"/>
    <col min="12" max="12" width="6.28515625" style="58" customWidth="1"/>
    <col min="13" max="13" width="7.7109375" style="58" customWidth="1"/>
    <col min="14" max="14" width="8.140625" style="58" customWidth="1"/>
    <col min="15" max="16" width="6.7109375" style="58" customWidth="1"/>
    <col min="17" max="17" width="5" style="58" customWidth="1"/>
    <col min="18" max="18" width="5.85546875" style="58" customWidth="1"/>
    <col min="19" max="19" width="9.5703125" style="58" customWidth="1"/>
    <col min="20" max="20" width="6.5703125" style="58" customWidth="1"/>
    <col min="21" max="21" width="6.42578125" style="58" customWidth="1"/>
    <col min="22" max="22" width="7.7109375" style="58" customWidth="1"/>
    <col min="23" max="23" width="7.5703125" style="58" customWidth="1"/>
    <col min="24" max="24" width="6.140625" style="58" customWidth="1"/>
    <col min="25" max="25" width="7.5703125" style="58" customWidth="1"/>
    <col min="26" max="26" width="6.85546875" style="58" customWidth="1"/>
    <col min="27" max="27" width="5.7109375" style="58" customWidth="1"/>
    <col min="28" max="28" width="5.85546875" style="58" customWidth="1"/>
    <col min="29" max="29" width="3.7109375" style="58" customWidth="1"/>
    <col min="30" max="30" width="3.28515625" style="58" customWidth="1"/>
    <col min="31" max="31" width="3.85546875" style="58" customWidth="1"/>
    <col min="32" max="32" width="4.85546875" style="58" customWidth="1"/>
    <col min="33" max="33" width="7" style="59" customWidth="1"/>
    <col min="34" max="34" width="7" style="58" customWidth="1"/>
    <col min="35" max="36" width="4.42578125" style="58" customWidth="1"/>
    <col min="37" max="37" width="4.140625" style="58" customWidth="1"/>
    <col min="38" max="38" width="3.42578125" style="58" customWidth="1"/>
    <col min="39" max="39" width="3.7109375" style="58" hidden="1" customWidth="1"/>
    <col min="40" max="40" width="4.85546875" style="60" customWidth="1"/>
    <col min="41" max="41" width="4.140625" style="58" customWidth="1"/>
    <col min="42" max="42" width="3.85546875" style="58" customWidth="1"/>
    <col min="43" max="43" width="6.28515625" style="58" customWidth="1"/>
    <col min="44" max="44" width="7.7109375" style="58" customWidth="1"/>
    <col min="45" max="45" width="4" style="58" customWidth="1"/>
    <col min="46" max="46" width="4.5703125" style="58" customWidth="1"/>
    <col min="47" max="47" width="6.140625" style="58" customWidth="1"/>
    <col min="48" max="48" width="6.28515625" style="58" customWidth="1"/>
    <col min="49" max="49" width="5.28515625" style="58" customWidth="1"/>
    <col min="50" max="258" width="4" style="58" customWidth="1"/>
    <col min="259" max="16384" width="9" style="1"/>
  </cols>
  <sheetData>
    <row r="1" spans="1:258" ht="15" customHeight="1" thickTop="1">
      <c r="A1" s="493" t="s">
        <v>210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5"/>
      <c r="W1" s="185"/>
      <c r="X1" s="68"/>
      <c r="Y1" s="63"/>
      <c r="Z1" s="63"/>
      <c r="AA1" s="63"/>
      <c r="AB1" s="63"/>
      <c r="AC1" s="64"/>
      <c r="AD1" s="64"/>
      <c r="AE1" s="65"/>
      <c r="AF1" s="65"/>
      <c r="AG1" s="65"/>
      <c r="AH1" s="65"/>
      <c r="AI1" s="65"/>
      <c r="AJ1" s="65"/>
      <c r="AK1" s="65"/>
      <c r="AN1" s="58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15" customHeight="1">
      <c r="A2" s="187" t="s">
        <v>88</v>
      </c>
      <c r="B2" s="67"/>
      <c r="C2" s="68" t="str">
        <f>Enter!E2</f>
        <v>LOURDU JASMINE METILDA J</v>
      </c>
      <c r="D2" s="69"/>
      <c r="E2" s="69"/>
      <c r="F2" s="70"/>
      <c r="G2" s="69"/>
      <c r="H2" s="69"/>
      <c r="I2" s="69"/>
      <c r="J2" s="69"/>
      <c r="O2" s="69" t="s">
        <v>89</v>
      </c>
      <c r="P2" s="69"/>
      <c r="Q2" s="69"/>
      <c r="R2" s="478" t="str">
        <f>Enter!E7</f>
        <v>P.G.ASST.</v>
      </c>
      <c r="S2" s="478"/>
      <c r="T2" s="478"/>
      <c r="U2" s="69"/>
      <c r="V2" s="188"/>
      <c r="W2" s="69"/>
      <c r="X2" s="69"/>
      <c r="Y2" s="63"/>
      <c r="Z2" s="63"/>
      <c r="AA2" s="63"/>
      <c r="AB2" s="63"/>
      <c r="AC2" s="63"/>
      <c r="AD2" s="64"/>
      <c r="AE2" s="64"/>
      <c r="AF2" s="65"/>
      <c r="AG2" s="65"/>
      <c r="AH2" s="65"/>
      <c r="AI2" s="65"/>
      <c r="AJ2" s="65"/>
      <c r="AK2" s="65"/>
      <c r="AL2" s="65"/>
      <c r="AN2" s="58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</row>
    <row r="3" spans="1:258" ht="15" customHeight="1">
      <c r="A3" s="519" t="s">
        <v>90</v>
      </c>
      <c r="B3" s="448"/>
      <c r="C3" s="448"/>
      <c r="D3" s="72" t="str">
        <f>Enter!E3</f>
        <v>JOSEPH RAJ</v>
      </c>
      <c r="E3" s="69"/>
      <c r="F3" s="69"/>
      <c r="G3" s="69"/>
      <c r="H3" s="69"/>
      <c r="I3" s="69"/>
      <c r="J3" s="69"/>
      <c r="O3" s="69" t="s">
        <v>91</v>
      </c>
      <c r="P3" s="69"/>
      <c r="Q3" s="69"/>
      <c r="R3" s="69"/>
      <c r="S3" s="166" t="str">
        <f>Enter!E8</f>
        <v>XXXXXXXXX</v>
      </c>
      <c r="T3" s="166"/>
      <c r="U3" s="166"/>
      <c r="V3" s="189"/>
      <c r="W3" s="166"/>
      <c r="X3" s="166"/>
      <c r="Y3" s="63"/>
      <c r="Z3" s="63"/>
      <c r="AA3" s="63"/>
      <c r="AB3" s="63"/>
      <c r="AC3" s="63"/>
      <c r="AD3" s="64"/>
      <c r="AE3" s="64"/>
      <c r="AF3" s="65"/>
      <c r="AG3" s="65"/>
      <c r="AH3" s="65"/>
      <c r="AI3" s="65"/>
      <c r="AJ3" s="65"/>
      <c r="AK3" s="65"/>
      <c r="AL3" s="65"/>
      <c r="AN3" s="58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</row>
    <row r="4" spans="1:258" ht="15" customHeight="1">
      <c r="A4" s="187" t="s">
        <v>92</v>
      </c>
      <c r="B4" s="69"/>
      <c r="C4" s="69"/>
      <c r="D4" s="446">
        <f>Enter!E4</f>
        <v>28657</v>
      </c>
      <c r="E4" s="446"/>
      <c r="F4" s="446"/>
      <c r="G4" s="446"/>
      <c r="H4" s="446"/>
      <c r="I4" s="446"/>
      <c r="J4" s="69"/>
      <c r="O4" s="69" t="s">
        <v>179</v>
      </c>
      <c r="P4" s="69"/>
      <c r="Q4" s="69"/>
      <c r="R4" s="478" t="str">
        <f>Enter!E9</f>
        <v>460XXXXXX2345</v>
      </c>
      <c r="S4" s="478"/>
      <c r="T4" s="478"/>
      <c r="U4" s="166"/>
      <c r="V4" s="189"/>
      <c r="W4" s="166"/>
      <c r="X4" s="166"/>
      <c r="Y4" s="63"/>
      <c r="Z4" s="63"/>
      <c r="AA4" s="63"/>
      <c r="AB4" s="63"/>
      <c r="AC4" s="63"/>
      <c r="AD4" s="64"/>
      <c r="AE4" s="64"/>
      <c r="AF4" s="65"/>
      <c r="AG4" s="65"/>
      <c r="AH4" s="65"/>
      <c r="AI4" s="65"/>
      <c r="AJ4" s="65"/>
      <c r="AK4" s="65"/>
      <c r="AL4" s="65"/>
      <c r="AN4" s="58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</row>
    <row r="5" spans="1:258" ht="15" customHeight="1">
      <c r="A5" s="187" t="s">
        <v>93</v>
      </c>
      <c r="B5" s="69"/>
      <c r="C5" s="397" t="str">
        <f>Enter!E5</f>
        <v>GOVT HR SEC SCHOOL</v>
      </c>
      <c r="D5" s="397"/>
      <c r="E5" s="397"/>
      <c r="F5" s="397"/>
      <c r="G5" s="397"/>
      <c r="H5" s="397"/>
      <c r="I5" s="397"/>
      <c r="J5" s="69"/>
      <c r="O5" s="69"/>
      <c r="P5" s="69"/>
      <c r="Q5" s="69"/>
      <c r="R5" s="69"/>
      <c r="S5" s="125"/>
      <c r="T5" s="125"/>
      <c r="U5" s="125"/>
      <c r="V5" s="190"/>
      <c r="W5" s="125"/>
      <c r="X5" s="125"/>
      <c r="Y5" s="63"/>
      <c r="Z5" s="63"/>
      <c r="AA5" s="63"/>
      <c r="AB5" s="63"/>
      <c r="AC5" s="63"/>
      <c r="AD5" s="64"/>
      <c r="AE5" s="64"/>
      <c r="AF5" s="65"/>
      <c r="AG5" s="65"/>
      <c r="AH5" s="65"/>
      <c r="AI5" s="65"/>
      <c r="AJ5" s="65"/>
      <c r="AK5" s="65"/>
      <c r="AL5" s="65"/>
      <c r="AN5" s="58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</row>
    <row r="6" spans="1:258" ht="15" customHeight="1" thickBot="1">
      <c r="A6" s="520" t="str">
        <f>Enter!E6</f>
        <v>T.MEDUPATTI, MADURAI</v>
      </c>
      <c r="B6" s="521"/>
      <c r="C6" s="521"/>
      <c r="D6" s="521"/>
      <c r="E6" s="521"/>
      <c r="F6" s="521"/>
      <c r="G6" s="521"/>
      <c r="H6" s="521"/>
      <c r="I6" s="521"/>
      <c r="J6" s="191"/>
      <c r="K6" s="192"/>
      <c r="L6" s="192"/>
      <c r="M6" s="192"/>
      <c r="N6" s="192"/>
      <c r="O6" s="191"/>
      <c r="P6" s="191"/>
      <c r="Q6" s="191"/>
      <c r="R6" s="191"/>
      <c r="S6" s="193"/>
      <c r="T6" s="193"/>
      <c r="U6" s="193"/>
      <c r="V6" s="194"/>
      <c r="W6" s="125"/>
      <c r="X6" s="125"/>
      <c r="Y6" s="63"/>
      <c r="Z6" s="63"/>
      <c r="AA6" s="63"/>
      <c r="AB6" s="63"/>
      <c r="AC6" s="63"/>
      <c r="AD6" s="64"/>
      <c r="AE6" s="64"/>
      <c r="AF6" s="65"/>
      <c r="AG6" s="65"/>
      <c r="AH6" s="65"/>
      <c r="AI6" s="65"/>
      <c r="AJ6" s="65"/>
      <c r="AK6" s="65"/>
      <c r="AL6" s="65"/>
      <c r="AN6" s="58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</row>
    <row r="7" spans="1:258" ht="15" customHeight="1" thickTop="1">
      <c r="A7" s="161"/>
      <c r="B7" s="162"/>
      <c r="C7" s="162"/>
      <c r="D7" s="162"/>
      <c r="E7" s="162"/>
      <c r="F7" s="162"/>
      <c r="G7" s="162"/>
      <c r="H7" s="162"/>
      <c r="I7" s="186"/>
      <c r="J7" s="90"/>
      <c r="K7" s="90"/>
      <c r="L7" s="90"/>
      <c r="M7" s="90"/>
      <c r="N7" s="186"/>
      <c r="O7" s="186"/>
      <c r="P7" s="186"/>
      <c r="Q7" s="186"/>
      <c r="R7" s="163"/>
      <c r="S7" s="163"/>
      <c r="T7" s="163"/>
      <c r="U7" s="163"/>
      <c r="V7" s="184"/>
      <c r="W7" s="182"/>
      <c r="X7" s="63"/>
      <c r="Y7" s="63"/>
      <c r="Z7" s="63"/>
      <c r="AA7" s="63"/>
      <c r="AB7" s="63"/>
      <c r="AC7" s="64"/>
      <c r="AD7" s="64"/>
      <c r="AE7" s="65"/>
      <c r="AF7" s="65"/>
      <c r="AG7" s="65"/>
      <c r="AH7" s="65"/>
      <c r="AI7" s="65"/>
      <c r="AJ7" s="65"/>
      <c r="AK7" s="65"/>
      <c r="AN7" s="58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</row>
    <row r="8" spans="1:258" ht="14.1" customHeight="1" thickBot="1">
      <c r="A8" s="100"/>
      <c r="B8" s="96"/>
      <c r="C8" s="96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151"/>
      <c r="P8" s="95"/>
      <c r="Q8" s="95"/>
      <c r="R8" s="95"/>
      <c r="S8" s="94"/>
      <c r="T8" s="96"/>
      <c r="U8" s="95"/>
      <c r="V8" s="181"/>
      <c r="W8" s="183"/>
      <c r="X8" s="62"/>
      <c r="Y8" s="62"/>
      <c r="Z8" s="62"/>
      <c r="AA8" s="63"/>
      <c r="AB8" s="63"/>
      <c r="AC8" s="63"/>
      <c r="AD8" s="63"/>
      <c r="AE8" s="63"/>
      <c r="AF8" s="64"/>
      <c r="AG8" s="64"/>
      <c r="AH8" s="65"/>
      <c r="AI8" s="65"/>
      <c r="AJ8" s="65"/>
      <c r="AK8" s="65"/>
      <c r="AL8" s="65"/>
      <c r="AM8" s="65"/>
      <c r="AN8" s="65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</row>
    <row r="9" spans="1:258" ht="14.1" customHeight="1" thickBot="1">
      <c r="A9" s="490" t="s">
        <v>212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2"/>
      <c r="W9" s="100"/>
      <c r="X9" s="62"/>
      <c r="Y9" s="63" t="s">
        <v>98</v>
      </c>
      <c r="Z9" s="63"/>
      <c r="AA9" s="63"/>
      <c r="AB9" s="63"/>
      <c r="AC9" s="63"/>
      <c r="AD9" s="63"/>
      <c r="AE9" s="63"/>
      <c r="AF9" s="64"/>
      <c r="AG9" s="64"/>
      <c r="AH9" s="65"/>
      <c r="AI9" s="65"/>
      <c r="AJ9" s="65"/>
      <c r="AK9" s="65"/>
      <c r="AL9" s="65"/>
      <c r="AM9" s="65"/>
      <c r="AN9" s="65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14.1" customHeight="1" thickBot="1">
      <c r="A10" s="355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7"/>
      <c r="W10" s="100"/>
      <c r="X10" s="62"/>
      <c r="Y10" s="63"/>
      <c r="Z10" s="63"/>
      <c r="AA10" s="63"/>
      <c r="AB10" s="85"/>
      <c r="AC10" s="63"/>
      <c r="AD10" s="63"/>
      <c r="AE10" s="63"/>
      <c r="AF10" s="64"/>
      <c r="AG10" s="64"/>
      <c r="AH10" s="65"/>
      <c r="AI10" s="65"/>
      <c r="AJ10" s="65"/>
      <c r="AK10" s="65"/>
      <c r="AL10" s="65"/>
      <c r="AM10" s="65"/>
      <c r="AN10" s="65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</row>
    <row r="11" spans="1:258" ht="14.1" customHeight="1" thickBot="1">
      <c r="A11" s="387" t="s">
        <v>0</v>
      </c>
      <c r="B11" s="469" t="s">
        <v>1</v>
      </c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1"/>
      <c r="N11" s="421" t="s">
        <v>2</v>
      </c>
      <c r="O11" s="422"/>
      <c r="P11" s="422"/>
      <c r="Q11" s="422"/>
      <c r="R11" s="422"/>
      <c r="S11" s="422"/>
      <c r="T11" s="422"/>
      <c r="U11" s="422"/>
      <c r="V11" s="423"/>
      <c r="W11" s="180"/>
      <c r="X11" s="62"/>
      <c r="Y11" s="63"/>
      <c r="Z11" s="63"/>
      <c r="AA11" s="88"/>
      <c r="AB11" s="85"/>
      <c r="AC11" s="63"/>
      <c r="AD11" s="63"/>
      <c r="AE11" s="63"/>
      <c r="AF11" s="64"/>
      <c r="AG11" s="64"/>
      <c r="AH11" s="65"/>
      <c r="AI11" s="65"/>
      <c r="AJ11" s="65"/>
      <c r="AK11" s="65"/>
      <c r="AL11" s="65"/>
      <c r="AM11" s="65"/>
      <c r="AN11" s="65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</row>
    <row r="12" spans="1:258" ht="14.1" customHeight="1">
      <c r="A12" s="387"/>
      <c r="B12" s="461" t="s">
        <v>3</v>
      </c>
      <c r="C12" s="462"/>
      <c r="D12" s="462"/>
      <c r="E12" s="463"/>
      <c r="F12" s="377" t="s">
        <v>4</v>
      </c>
      <c r="G12" s="377" t="s">
        <v>5</v>
      </c>
      <c r="H12" s="377" t="s">
        <v>6</v>
      </c>
      <c r="I12" s="377" t="s">
        <v>7</v>
      </c>
      <c r="J12" s="377" t="s">
        <v>8</v>
      </c>
      <c r="K12" s="377" t="s">
        <v>9</v>
      </c>
      <c r="L12" s="377" t="s">
        <v>10</v>
      </c>
      <c r="M12" s="474" t="s">
        <v>11</v>
      </c>
      <c r="N12" s="387" t="s">
        <v>12</v>
      </c>
      <c r="O12" s="370" t="s">
        <v>180</v>
      </c>
      <c r="P12" s="370" t="s">
        <v>14</v>
      </c>
      <c r="Q12" s="370" t="s">
        <v>15</v>
      </c>
      <c r="R12" s="370" t="s">
        <v>16</v>
      </c>
      <c r="S12" s="370" t="s">
        <v>17</v>
      </c>
      <c r="T12" s="370" t="s">
        <v>18</v>
      </c>
      <c r="U12" s="476" t="s">
        <v>132</v>
      </c>
      <c r="V12" s="476" t="s">
        <v>133</v>
      </c>
      <c r="W12" s="62"/>
      <c r="X12" s="63"/>
      <c r="Y12" s="63"/>
      <c r="Z12" s="63"/>
      <c r="AA12" s="85"/>
      <c r="AB12" s="63"/>
      <c r="AC12" s="63"/>
      <c r="AD12" s="63"/>
      <c r="AE12" s="64"/>
      <c r="AF12" s="64"/>
      <c r="AG12" s="65"/>
      <c r="AH12" s="65"/>
      <c r="AI12" s="65"/>
      <c r="AJ12" s="65"/>
      <c r="AK12" s="65"/>
      <c r="AL12" s="65"/>
      <c r="AM12" s="65"/>
      <c r="AN12" s="58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</row>
    <row r="13" spans="1:258" ht="14.1" customHeight="1">
      <c r="A13" s="388"/>
      <c r="B13" s="464"/>
      <c r="C13" s="465"/>
      <c r="D13" s="465"/>
      <c r="E13" s="466"/>
      <c r="F13" s="371"/>
      <c r="G13" s="371"/>
      <c r="H13" s="371"/>
      <c r="I13" s="371"/>
      <c r="J13" s="371"/>
      <c r="K13" s="371"/>
      <c r="L13" s="371"/>
      <c r="M13" s="475"/>
      <c r="N13" s="388"/>
      <c r="O13" s="371"/>
      <c r="P13" s="371"/>
      <c r="Q13" s="371"/>
      <c r="R13" s="371"/>
      <c r="S13" s="371"/>
      <c r="T13" s="371"/>
      <c r="U13" s="477"/>
      <c r="V13" s="477"/>
      <c r="W13" s="62"/>
      <c r="X13" s="63"/>
      <c r="Y13" s="63"/>
      <c r="Z13" s="63"/>
      <c r="AA13" s="63"/>
      <c r="AB13" s="63"/>
      <c r="AC13" s="63"/>
      <c r="AD13" s="63"/>
      <c r="AE13" s="64"/>
      <c r="AF13" s="64"/>
      <c r="AG13" s="65"/>
      <c r="AH13" s="65"/>
      <c r="AI13" s="65"/>
      <c r="AJ13" s="65"/>
      <c r="AK13" s="65"/>
      <c r="AL13" s="65"/>
      <c r="AM13" s="65"/>
      <c r="AN13" s="58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</row>
    <row r="14" spans="1:258" ht="14.1" customHeight="1">
      <c r="A14" s="157">
        <v>45352</v>
      </c>
      <c r="B14" s="374">
        <f>Enter!B15</f>
        <v>54100</v>
      </c>
      <c r="C14" s="375"/>
      <c r="D14" s="375"/>
      <c r="E14" s="376"/>
      <c r="F14" s="102">
        <f>Enter!F15</f>
        <v>24886</v>
      </c>
      <c r="G14" s="102">
        <f>Enter!G15</f>
        <v>0</v>
      </c>
      <c r="H14" s="102">
        <f>Enter!H15</f>
        <v>4300</v>
      </c>
      <c r="I14" s="102">
        <f>Enter!I15</f>
        <v>0</v>
      </c>
      <c r="J14" s="102">
        <f>Enter!J15</f>
        <v>0</v>
      </c>
      <c r="K14" s="102">
        <f>Enter!K15</f>
        <v>0</v>
      </c>
      <c r="L14" s="102">
        <f>Enter!L15</f>
        <v>300</v>
      </c>
      <c r="M14" s="102">
        <f>Enter!M15</f>
        <v>83586</v>
      </c>
      <c r="N14" s="102">
        <f>Enter!N15</f>
        <v>7899</v>
      </c>
      <c r="O14" s="102">
        <f>Enter!O15</f>
        <v>0</v>
      </c>
      <c r="P14" s="102">
        <f>Enter!P15</f>
        <v>110</v>
      </c>
      <c r="Q14" s="102">
        <f>Enter!Q15</f>
        <v>70</v>
      </c>
      <c r="R14" s="102">
        <f>Enter!R15</f>
        <v>0</v>
      </c>
      <c r="S14" s="102">
        <f>Enter!S15</f>
        <v>0</v>
      </c>
      <c r="T14" s="102"/>
      <c r="U14" s="102">
        <f>Enter!U15</f>
        <v>0</v>
      </c>
      <c r="V14" s="102">
        <f>Enter!V15</f>
        <v>0</v>
      </c>
      <c r="W14" s="62"/>
      <c r="X14" s="63"/>
      <c r="Y14" s="63"/>
      <c r="Z14" s="63"/>
      <c r="AA14" s="85"/>
      <c r="AB14" s="63"/>
      <c r="AC14" s="63"/>
      <c r="AD14" s="63"/>
      <c r="AE14" s="64"/>
      <c r="AF14" s="64"/>
      <c r="AG14" s="65"/>
      <c r="AH14" s="65"/>
      <c r="AI14" s="65"/>
      <c r="AJ14" s="65"/>
      <c r="AK14" s="65"/>
      <c r="AL14" s="65"/>
      <c r="AM14" s="65"/>
      <c r="AN14" s="58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</row>
    <row r="15" spans="1:258" ht="14.1" customHeight="1">
      <c r="A15" s="157">
        <v>45383</v>
      </c>
      <c r="B15" s="374">
        <f>Enter!B16</f>
        <v>54100</v>
      </c>
      <c r="C15" s="375"/>
      <c r="D15" s="375"/>
      <c r="E15" s="376"/>
      <c r="F15" s="102">
        <f>Enter!F16</f>
        <v>27050</v>
      </c>
      <c r="G15" s="102">
        <f>Enter!G16</f>
        <v>0</v>
      </c>
      <c r="H15" s="102">
        <f>Enter!H16</f>
        <v>4300</v>
      </c>
      <c r="I15" s="102">
        <f>Enter!I16</f>
        <v>0</v>
      </c>
      <c r="J15" s="102">
        <f>Enter!J16</f>
        <v>0</v>
      </c>
      <c r="K15" s="102">
        <f>Enter!K16</f>
        <v>0</v>
      </c>
      <c r="L15" s="102">
        <f>Enter!L16</f>
        <v>300</v>
      </c>
      <c r="M15" s="102">
        <f>Enter!M16</f>
        <v>85750</v>
      </c>
      <c r="N15" s="102">
        <f>Enter!N16</f>
        <v>8115</v>
      </c>
      <c r="O15" s="102">
        <f>Enter!O16</f>
        <v>0</v>
      </c>
      <c r="P15" s="102">
        <f>Enter!P16</f>
        <v>110</v>
      </c>
      <c r="Q15" s="102">
        <f>Enter!Q16</f>
        <v>70</v>
      </c>
      <c r="R15" s="102">
        <f>Enter!R16</f>
        <v>0</v>
      </c>
      <c r="S15" s="102">
        <f>Enter!S16</f>
        <v>0</v>
      </c>
      <c r="T15" s="102"/>
      <c r="U15" s="102">
        <f>Enter!U16</f>
        <v>5227</v>
      </c>
      <c r="V15" s="102">
        <f>Enter!V16</f>
        <v>209</v>
      </c>
      <c r="W15" s="62"/>
      <c r="X15" s="63"/>
      <c r="Y15" s="63"/>
      <c r="Z15" s="63"/>
      <c r="AA15" s="63"/>
      <c r="AB15" s="85"/>
      <c r="AC15" s="63"/>
      <c r="AD15" s="63"/>
      <c r="AE15" s="64"/>
      <c r="AF15" s="64"/>
      <c r="AG15" s="65"/>
      <c r="AH15" s="65"/>
      <c r="AI15" s="65"/>
      <c r="AJ15" s="65"/>
      <c r="AK15" s="65"/>
      <c r="AL15" s="65"/>
      <c r="AM15" s="65"/>
      <c r="AN15" s="58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</row>
    <row r="16" spans="1:258" ht="14.1" customHeight="1">
      <c r="A16" s="158" t="s">
        <v>219</v>
      </c>
      <c r="B16" s="374">
        <f>Enter!B17</f>
        <v>54100</v>
      </c>
      <c r="C16" s="375"/>
      <c r="D16" s="375"/>
      <c r="E16" s="376"/>
      <c r="F16" s="102">
        <f>Enter!F17</f>
        <v>27050</v>
      </c>
      <c r="G16" s="102">
        <f>Enter!G17</f>
        <v>0</v>
      </c>
      <c r="H16" s="102">
        <f>Enter!H17</f>
        <v>4300</v>
      </c>
      <c r="I16" s="102">
        <f>Enter!I17</f>
        <v>0</v>
      </c>
      <c r="J16" s="102">
        <f>Enter!J17</f>
        <v>0</v>
      </c>
      <c r="K16" s="102">
        <f>Enter!K17</f>
        <v>0</v>
      </c>
      <c r="L16" s="102">
        <f>Enter!L17</f>
        <v>300</v>
      </c>
      <c r="M16" s="102">
        <f>Enter!M17</f>
        <v>85750</v>
      </c>
      <c r="N16" s="102">
        <f>Enter!N17</f>
        <v>8115</v>
      </c>
      <c r="O16" s="102">
        <f>Enter!O17</f>
        <v>0</v>
      </c>
      <c r="P16" s="102">
        <f>Enter!P17</f>
        <v>110</v>
      </c>
      <c r="Q16" s="102">
        <f>Enter!Q17</f>
        <v>70</v>
      </c>
      <c r="R16" s="102">
        <f>Enter!R17</f>
        <v>0</v>
      </c>
      <c r="S16" s="102">
        <f>Enter!S17</f>
        <v>0</v>
      </c>
      <c r="T16" s="102"/>
      <c r="U16" s="102">
        <f>Enter!U17</f>
        <v>5227</v>
      </c>
      <c r="V16" s="102">
        <f>Enter!V17</f>
        <v>209</v>
      </c>
      <c r="W16" s="62"/>
      <c r="X16" s="62"/>
      <c r="Y16" s="62"/>
      <c r="Z16" s="63"/>
      <c r="AA16" s="63"/>
      <c r="AB16" s="63"/>
      <c r="AC16" s="63"/>
      <c r="AD16" s="63"/>
      <c r="AE16" s="64"/>
      <c r="AF16" s="64"/>
      <c r="AG16" s="65"/>
      <c r="AH16" s="65"/>
      <c r="AI16" s="65"/>
      <c r="AJ16" s="65"/>
      <c r="AK16" s="65"/>
      <c r="AL16" s="65"/>
      <c r="AM16" s="65"/>
      <c r="AN16" s="58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</row>
    <row r="17" spans="1:258" ht="14.1" customHeight="1">
      <c r="A17" s="157">
        <v>45444</v>
      </c>
      <c r="B17" s="374">
        <f>Enter!B18</f>
        <v>54100</v>
      </c>
      <c r="C17" s="375"/>
      <c r="D17" s="375"/>
      <c r="E17" s="376"/>
      <c r="F17" s="102">
        <f>Enter!F18</f>
        <v>27050</v>
      </c>
      <c r="G17" s="102">
        <f>Enter!G18</f>
        <v>0</v>
      </c>
      <c r="H17" s="102">
        <f>Enter!H18</f>
        <v>4300</v>
      </c>
      <c r="I17" s="102">
        <f>Enter!I18</f>
        <v>0</v>
      </c>
      <c r="J17" s="102">
        <f>Enter!J18</f>
        <v>0</v>
      </c>
      <c r="K17" s="102">
        <f>Enter!K18</f>
        <v>0</v>
      </c>
      <c r="L17" s="102">
        <f>Enter!L18</f>
        <v>300</v>
      </c>
      <c r="M17" s="102">
        <f>Enter!M18</f>
        <v>85750</v>
      </c>
      <c r="N17" s="102">
        <f>Enter!N18</f>
        <v>8115</v>
      </c>
      <c r="O17" s="102">
        <f>Enter!O18</f>
        <v>0</v>
      </c>
      <c r="P17" s="102">
        <f>Enter!P18</f>
        <v>110</v>
      </c>
      <c r="Q17" s="102">
        <f>Enter!Q18</f>
        <v>70</v>
      </c>
      <c r="R17" s="102">
        <f>Enter!R18</f>
        <v>0</v>
      </c>
      <c r="S17" s="102">
        <f>Enter!S18</f>
        <v>0</v>
      </c>
      <c r="T17" s="102"/>
      <c r="U17" s="102">
        <f>Enter!U18</f>
        <v>5227</v>
      </c>
      <c r="V17" s="102">
        <f>Enter!V18</f>
        <v>209</v>
      </c>
      <c r="W17" s="62"/>
      <c r="X17" s="62"/>
      <c r="Y17" s="62"/>
      <c r="Z17" s="63"/>
      <c r="AA17" s="63"/>
      <c r="AB17" s="63"/>
      <c r="AC17" s="63"/>
      <c r="AD17" s="63"/>
      <c r="AE17" s="64"/>
      <c r="AF17" s="64"/>
      <c r="AG17" s="65"/>
      <c r="AH17" s="65"/>
      <c r="AI17" s="65"/>
      <c r="AJ17" s="65"/>
      <c r="AK17" s="65"/>
      <c r="AL17" s="65"/>
      <c r="AM17" s="65"/>
      <c r="AN17" s="58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</row>
    <row r="18" spans="1:258" ht="14.1" customHeight="1">
      <c r="A18" s="157">
        <v>45474</v>
      </c>
      <c r="B18" s="374">
        <f>Enter!B19</f>
        <v>54100</v>
      </c>
      <c r="C18" s="375"/>
      <c r="D18" s="375"/>
      <c r="E18" s="376"/>
      <c r="F18" s="102">
        <f>Enter!F19</f>
        <v>27050</v>
      </c>
      <c r="G18" s="102">
        <f>Enter!G19</f>
        <v>0</v>
      </c>
      <c r="H18" s="102">
        <f>Enter!H19</f>
        <v>4300</v>
      </c>
      <c r="I18" s="102">
        <f>Enter!I19</f>
        <v>0</v>
      </c>
      <c r="J18" s="102">
        <f>Enter!J19</f>
        <v>0</v>
      </c>
      <c r="K18" s="102">
        <f>Enter!K19</f>
        <v>0</v>
      </c>
      <c r="L18" s="102">
        <f>Enter!L19</f>
        <v>300</v>
      </c>
      <c r="M18" s="102">
        <f>Enter!M19</f>
        <v>85750</v>
      </c>
      <c r="N18" s="102">
        <f>Enter!N19</f>
        <v>8115</v>
      </c>
      <c r="O18" s="102">
        <f>Enter!O19</f>
        <v>0</v>
      </c>
      <c r="P18" s="102">
        <f>Enter!P19</f>
        <v>110</v>
      </c>
      <c r="Q18" s="102">
        <f>Enter!Q19</f>
        <v>70</v>
      </c>
      <c r="R18" s="102">
        <f>Enter!R19</f>
        <v>0</v>
      </c>
      <c r="S18" s="102">
        <f>Enter!S19</f>
        <v>0</v>
      </c>
      <c r="T18" s="102"/>
      <c r="U18" s="102">
        <f>Enter!U19</f>
        <v>5227</v>
      </c>
      <c r="V18" s="102">
        <f>Enter!V19</f>
        <v>209</v>
      </c>
      <c r="W18" s="63"/>
      <c r="X18" s="63"/>
      <c r="Y18" s="63"/>
      <c r="Z18" s="63"/>
      <c r="AA18" s="63"/>
      <c r="AB18" s="63"/>
      <c r="AC18" s="63"/>
      <c r="AD18" s="63"/>
      <c r="AE18" s="64"/>
      <c r="AF18" s="64"/>
      <c r="AG18" s="65"/>
      <c r="AH18" s="65"/>
      <c r="AI18" s="65"/>
      <c r="AJ18" s="65"/>
      <c r="AK18" s="65"/>
      <c r="AL18" s="65"/>
      <c r="AM18" s="65"/>
      <c r="AN18" s="58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</row>
    <row r="19" spans="1:258" ht="14.1" customHeight="1">
      <c r="A19" s="158" t="s">
        <v>222</v>
      </c>
      <c r="B19" s="374">
        <f>Enter!B20</f>
        <v>54100</v>
      </c>
      <c r="C19" s="375"/>
      <c r="D19" s="375"/>
      <c r="E19" s="376"/>
      <c r="F19" s="102">
        <f>Enter!F20</f>
        <v>27050</v>
      </c>
      <c r="G19" s="102">
        <f>Enter!G20</f>
        <v>0</v>
      </c>
      <c r="H19" s="102">
        <f>Enter!H20</f>
        <v>4300</v>
      </c>
      <c r="I19" s="102">
        <f>Enter!I20</f>
        <v>0</v>
      </c>
      <c r="J19" s="102">
        <f>Enter!J20</f>
        <v>0</v>
      </c>
      <c r="K19" s="102">
        <f>Enter!K20</f>
        <v>0</v>
      </c>
      <c r="L19" s="102">
        <f>Enter!L20</f>
        <v>300</v>
      </c>
      <c r="M19" s="102">
        <f>Enter!M20</f>
        <v>85750</v>
      </c>
      <c r="N19" s="102">
        <f>Enter!N20</f>
        <v>8115</v>
      </c>
      <c r="O19" s="102">
        <f>Enter!O20</f>
        <v>0</v>
      </c>
      <c r="P19" s="102">
        <f>Enter!P20</f>
        <v>110</v>
      </c>
      <c r="Q19" s="102">
        <f>Enter!Q20</f>
        <v>70</v>
      </c>
      <c r="R19" s="102">
        <f>Enter!R20</f>
        <v>0</v>
      </c>
      <c r="S19" s="102">
        <f>Enter!S20</f>
        <v>0</v>
      </c>
      <c r="T19" s="102">
        <f>Enter!T20</f>
        <v>1250</v>
      </c>
      <c r="U19" s="102">
        <f>Enter!U20</f>
        <v>5227</v>
      </c>
      <c r="V19" s="102">
        <f>Enter!V20</f>
        <v>209</v>
      </c>
      <c r="W19" s="63"/>
      <c r="X19" s="63"/>
      <c r="Y19" s="63"/>
      <c r="Z19" s="63"/>
      <c r="AA19" s="63"/>
      <c r="AB19" s="63"/>
      <c r="AC19" s="63"/>
      <c r="AD19" s="63"/>
      <c r="AE19" s="64"/>
      <c r="AF19" s="64"/>
      <c r="AG19" s="65"/>
      <c r="AH19" s="65"/>
      <c r="AI19" s="65"/>
      <c r="AJ19" s="65"/>
      <c r="AK19" s="65"/>
      <c r="AL19" s="65"/>
      <c r="AM19" s="65"/>
      <c r="AN19" s="58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</row>
    <row r="20" spans="1:258" ht="14.1" customHeight="1">
      <c r="A20" s="158" t="s">
        <v>223</v>
      </c>
      <c r="B20" s="374">
        <f>Enter!B21</f>
        <v>54100</v>
      </c>
      <c r="C20" s="375"/>
      <c r="D20" s="375"/>
      <c r="E20" s="376"/>
      <c r="F20" s="102">
        <f>Enter!F21</f>
        <v>27050</v>
      </c>
      <c r="G20" s="102">
        <f>Enter!G21</f>
        <v>0</v>
      </c>
      <c r="H20" s="102">
        <f>Enter!H21</f>
        <v>4300</v>
      </c>
      <c r="I20" s="102">
        <f>Enter!I21</f>
        <v>0</v>
      </c>
      <c r="J20" s="102">
        <f>Enter!J21</f>
        <v>0</v>
      </c>
      <c r="K20" s="102">
        <f>Enter!K21</f>
        <v>0</v>
      </c>
      <c r="L20" s="102">
        <f>Enter!L21</f>
        <v>300</v>
      </c>
      <c r="M20" s="102">
        <f>Enter!M21</f>
        <v>85750</v>
      </c>
      <c r="N20" s="102">
        <f>Enter!N21</f>
        <v>8115</v>
      </c>
      <c r="O20" s="102">
        <f>Enter!O21</f>
        <v>0</v>
      </c>
      <c r="P20" s="102">
        <f>Enter!P21</f>
        <v>110</v>
      </c>
      <c r="Q20" s="102">
        <f>Enter!Q21</f>
        <v>70</v>
      </c>
      <c r="R20" s="102">
        <f>Enter!R21</f>
        <v>0</v>
      </c>
      <c r="S20" s="102">
        <f>Enter!S21</f>
        <v>0</v>
      </c>
      <c r="T20" s="102"/>
      <c r="U20" s="102">
        <f>Enter!U21</f>
        <v>5227</v>
      </c>
      <c r="V20" s="102">
        <f>Enter!V21</f>
        <v>209</v>
      </c>
      <c r="W20" s="63"/>
      <c r="X20" s="63"/>
      <c r="Y20" s="63"/>
      <c r="Z20" s="63"/>
      <c r="AA20" s="63"/>
      <c r="AB20" s="63"/>
      <c r="AC20" s="63"/>
      <c r="AD20" s="63"/>
      <c r="AE20" s="64"/>
      <c r="AF20" s="64"/>
      <c r="AG20" s="65"/>
      <c r="AH20" s="65"/>
      <c r="AI20" s="65"/>
      <c r="AJ20" s="65"/>
      <c r="AK20" s="65"/>
      <c r="AL20" s="65"/>
      <c r="AM20" s="65"/>
      <c r="AN20" s="58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</row>
    <row r="21" spans="1:258" ht="14.1" customHeight="1">
      <c r="A21" s="157">
        <v>45566</v>
      </c>
      <c r="B21" s="374">
        <f>Enter!B22</f>
        <v>54100</v>
      </c>
      <c r="C21" s="375"/>
      <c r="D21" s="375"/>
      <c r="E21" s="376"/>
      <c r="F21" s="102">
        <f>Enter!F22</f>
        <v>28673</v>
      </c>
      <c r="G21" s="102">
        <f>Enter!G22</f>
        <v>0</v>
      </c>
      <c r="H21" s="102">
        <f>Enter!H22</f>
        <v>4300</v>
      </c>
      <c r="I21" s="102">
        <f>Enter!I22</f>
        <v>0</v>
      </c>
      <c r="J21" s="102">
        <f>Enter!J22</f>
        <v>0</v>
      </c>
      <c r="K21" s="102">
        <f>Enter!K22</f>
        <v>0</v>
      </c>
      <c r="L21" s="102">
        <f>Enter!L22</f>
        <v>300</v>
      </c>
      <c r="M21" s="102">
        <f>Enter!M22</f>
        <v>87373</v>
      </c>
      <c r="N21" s="102">
        <f>Enter!N22</f>
        <v>8277</v>
      </c>
      <c r="O21" s="102">
        <f>Enter!O22</f>
        <v>0</v>
      </c>
      <c r="P21" s="102">
        <f>Enter!P22</f>
        <v>110</v>
      </c>
      <c r="Q21" s="102">
        <f>Enter!Q22</f>
        <v>70</v>
      </c>
      <c r="R21" s="102">
        <f>Enter!R22</f>
        <v>0</v>
      </c>
      <c r="S21" s="102">
        <f>Enter!S22</f>
        <v>0</v>
      </c>
      <c r="T21" s="102"/>
      <c r="U21" s="102">
        <f>Enter!U22</f>
        <v>5617</v>
      </c>
      <c r="V21" s="102">
        <f>Enter!V22</f>
        <v>225</v>
      </c>
      <c r="W21" s="63"/>
      <c r="X21" s="63"/>
      <c r="Y21" s="63"/>
      <c r="Z21" s="63"/>
      <c r="AA21" s="63"/>
      <c r="AB21" s="63"/>
      <c r="AC21" s="63"/>
      <c r="AD21" s="63"/>
      <c r="AE21" s="64"/>
      <c r="AF21" s="64"/>
      <c r="AG21" s="65"/>
      <c r="AH21" s="65"/>
      <c r="AI21" s="65"/>
      <c r="AJ21" s="65"/>
      <c r="AK21" s="65"/>
      <c r="AL21" s="65"/>
      <c r="AM21" s="65"/>
      <c r="AN21" s="58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</row>
    <row r="22" spans="1:258" ht="14.1" customHeight="1">
      <c r="A22" s="157">
        <v>45597</v>
      </c>
      <c r="B22" s="374">
        <f>Enter!B23</f>
        <v>54100</v>
      </c>
      <c r="C22" s="375"/>
      <c r="D22" s="375"/>
      <c r="E22" s="376"/>
      <c r="F22" s="102">
        <f>Enter!F23</f>
        <v>28673</v>
      </c>
      <c r="G22" s="102">
        <f>Enter!G23</f>
        <v>0</v>
      </c>
      <c r="H22" s="102">
        <f>Enter!H23</f>
        <v>4300</v>
      </c>
      <c r="I22" s="102">
        <f>Enter!I23</f>
        <v>0</v>
      </c>
      <c r="J22" s="102">
        <f>Enter!J23</f>
        <v>0</v>
      </c>
      <c r="K22" s="102">
        <f>Enter!K23</f>
        <v>0</v>
      </c>
      <c r="L22" s="102">
        <f>Enter!L23</f>
        <v>300</v>
      </c>
      <c r="M22" s="102">
        <f>Enter!M23</f>
        <v>87373</v>
      </c>
      <c r="N22" s="102">
        <f>Enter!N23</f>
        <v>8277</v>
      </c>
      <c r="O22" s="102">
        <f>Enter!O23</f>
        <v>0</v>
      </c>
      <c r="P22" s="102">
        <f>Enter!P23</f>
        <v>110</v>
      </c>
      <c r="Q22" s="102">
        <f>Enter!Q23</f>
        <v>70</v>
      </c>
      <c r="R22" s="102">
        <f>Enter!R23</f>
        <v>0</v>
      </c>
      <c r="S22" s="102">
        <f>Enter!S23</f>
        <v>0</v>
      </c>
      <c r="T22" s="102"/>
      <c r="U22" s="102">
        <f>Enter!U23</f>
        <v>5617</v>
      </c>
      <c r="V22" s="102">
        <f>Enter!V23</f>
        <v>225</v>
      </c>
      <c r="W22" s="63"/>
      <c r="X22" s="63"/>
      <c r="Y22" s="63"/>
      <c r="Z22" s="63"/>
      <c r="AA22" s="63"/>
      <c r="AB22" s="63"/>
      <c r="AC22" s="63"/>
      <c r="AD22" s="63"/>
      <c r="AE22" s="64"/>
      <c r="AF22" s="64"/>
      <c r="AG22" s="65"/>
      <c r="AH22" s="65"/>
      <c r="AI22" s="65"/>
      <c r="AJ22" s="65"/>
      <c r="AK22" s="65"/>
      <c r="AL22" s="65"/>
      <c r="AM22" s="65"/>
      <c r="AN22" s="58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</row>
    <row r="23" spans="1:258" ht="14.1" customHeight="1">
      <c r="A23" s="158" t="s">
        <v>226</v>
      </c>
      <c r="B23" s="374">
        <f>Enter!B24</f>
        <v>54100</v>
      </c>
      <c r="C23" s="375"/>
      <c r="D23" s="375"/>
      <c r="E23" s="376"/>
      <c r="F23" s="102">
        <f>Enter!F24</f>
        <v>28673</v>
      </c>
      <c r="G23" s="102">
        <f>Enter!G24</f>
        <v>0</v>
      </c>
      <c r="H23" s="102">
        <f>Enter!H24</f>
        <v>4300</v>
      </c>
      <c r="I23" s="102">
        <f>Enter!I24</f>
        <v>0</v>
      </c>
      <c r="J23" s="102">
        <f>Enter!J24</f>
        <v>0</v>
      </c>
      <c r="K23" s="102">
        <f>Enter!K24</f>
        <v>0</v>
      </c>
      <c r="L23" s="102">
        <f>Enter!L24</f>
        <v>300</v>
      </c>
      <c r="M23" s="102">
        <f>Enter!M24</f>
        <v>87373</v>
      </c>
      <c r="N23" s="102">
        <f>Enter!N24</f>
        <v>8277</v>
      </c>
      <c r="O23" s="102">
        <f>Enter!O24</f>
        <v>0</v>
      </c>
      <c r="P23" s="102">
        <f>Enter!P24</f>
        <v>110</v>
      </c>
      <c r="Q23" s="102">
        <f>Enter!Q24</f>
        <v>70</v>
      </c>
      <c r="R23" s="102">
        <f>Enter!R24</f>
        <v>0</v>
      </c>
      <c r="S23" s="102">
        <f>Enter!S24</f>
        <v>0</v>
      </c>
      <c r="T23" s="102"/>
      <c r="U23" s="102">
        <f>Enter!U24</f>
        <v>1511</v>
      </c>
      <c r="V23" s="102">
        <f>Enter!V24</f>
        <v>60</v>
      </c>
      <c r="W23" s="63"/>
      <c r="X23" s="63"/>
      <c r="Y23" s="63"/>
      <c r="Z23" s="63"/>
      <c r="AA23" s="63"/>
      <c r="AB23" s="63"/>
      <c r="AC23" s="63"/>
      <c r="AD23" s="63"/>
      <c r="AE23" s="64"/>
      <c r="AF23" s="64"/>
      <c r="AG23" s="65"/>
      <c r="AH23" s="65"/>
      <c r="AI23" s="65"/>
      <c r="AJ23" s="65"/>
      <c r="AK23" s="65"/>
      <c r="AL23" s="65"/>
      <c r="AM23" s="65"/>
      <c r="AN23" s="58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</row>
    <row r="24" spans="1:258" ht="14.1" customHeight="1">
      <c r="A24" s="158" t="s">
        <v>227</v>
      </c>
      <c r="B24" s="374">
        <f>Enter!B25</f>
        <v>55600</v>
      </c>
      <c r="C24" s="375"/>
      <c r="D24" s="375"/>
      <c r="E24" s="376"/>
      <c r="F24" s="102">
        <f>Enter!F25</f>
        <v>29468</v>
      </c>
      <c r="G24" s="102">
        <f>Enter!G25</f>
        <v>0</v>
      </c>
      <c r="H24" s="102">
        <f>Enter!H25</f>
        <v>4300</v>
      </c>
      <c r="I24" s="102">
        <f>Enter!I25</f>
        <v>0</v>
      </c>
      <c r="J24" s="102">
        <f>Enter!J25</f>
        <v>0</v>
      </c>
      <c r="K24" s="102">
        <f>Enter!K25</f>
        <v>0</v>
      </c>
      <c r="L24" s="102">
        <f>Enter!L25</f>
        <v>300</v>
      </c>
      <c r="M24" s="102">
        <f>Enter!M25</f>
        <v>89668</v>
      </c>
      <c r="N24" s="102">
        <f>Enter!N25</f>
        <v>8507</v>
      </c>
      <c r="O24" s="102">
        <f>Enter!O25</f>
        <v>0</v>
      </c>
      <c r="P24" s="102">
        <f>Enter!P25</f>
        <v>110</v>
      </c>
      <c r="Q24" s="102">
        <f>Enter!Q25</f>
        <v>70</v>
      </c>
      <c r="R24" s="102">
        <f>Enter!R25</f>
        <v>0</v>
      </c>
      <c r="S24" s="102">
        <f>Enter!S25</f>
        <v>0</v>
      </c>
      <c r="T24" s="102">
        <f>Enter!T25</f>
        <v>1250</v>
      </c>
      <c r="U24" s="102">
        <f>Enter!U25</f>
        <v>0</v>
      </c>
      <c r="V24" s="102">
        <f>Enter!V25</f>
        <v>0</v>
      </c>
      <c r="W24" s="63"/>
      <c r="X24" s="63"/>
      <c r="Y24" s="63"/>
      <c r="Z24" s="63"/>
      <c r="AA24" s="63"/>
      <c r="AB24" s="63"/>
      <c r="AC24" s="63"/>
      <c r="AD24" s="63"/>
      <c r="AE24" s="64"/>
      <c r="AF24" s="64"/>
      <c r="AG24" s="65"/>
      <c r="AH24" s="65"/>
      <c r="AI24" s="65"/>
      <c r="AJ24" s="65"/>
      <c r="AK24" s="65"/>
      <c r="AL24" s="65"/>
      <c r="AM24" s="65"/>
      <c r="AN24" s="58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</row>
    <row r="25" spans="1:258" ht="14.1" customHeight="1">
      <c r="A25" s="158" t="s">
        <v>228</v>
      </c>
      <c r="B25" s="374">
        <f>Enter!B26</f>
        <v>55600</v>
      </c>
      <c r="C25" s="375"/>
      <c r="D25" s="375"/>
      <c r="E25" s="376"/>
      <c r="F25" s="102">
        <f>Enter!F26</f>
        <v>29468</v>
      </c>
      <c r="G25" s="102">
        <f>Enter!G26</f>
        <v>0</v>
      </c>
      <c r="H25" s="102">
        <f>Enter!H26</f>
        <v>4300</v>
      </c>
      <c r="I25" s="102">
        <f>Enter!I26</f>
        <v>0</v>
      </c>
      <c r="J25" s="102">
        <f>Enter!J26</f>
        <v>0</v>
      </c>
      <c r="K25" s="102">
        <f>Enter!K26</f>
        <v>0</v>
      </c>
      <c r="L25" s="102">
        <f>Enter!L26</f>
        <v>300</v>
      </c>
      <c r="M25" s="102">
        <f>Enter!M26</f>
        <v>89668</v>
      </c>
      <c r="N25" s="102">
        <f>Enter!N26</f>
        <v>8507</v>
      </c>
      <c r="O25" s="102">
        <f>Enter!O26</f>
        <v>0</v>
      </c>
      <c r="P25" s="102">
        <f>Enter!P26</f>
        <v>110</v>
      </c>
      <c r="Q25" s="102">
        <f>Enter!Q26</f>
        <v>70</v>
      </c>
      <c r="R25" s="102">
        <f>Enter!R26</f>
        <v>0</v>
      </c>
      <c r="S25" s="102">
        <f>Enter!S26</f>
        <v>0</v>
      </c>
      <c r="T25" s="102"/>
      <c r="U25" s="102">
        <f>Enter!U26</f>
        <v>0</v>
      </c>
      <c r="V25" s="102">
        <f>Enter!V26</f>
        <v>0</v>
      </c>
      <c r="W25" s="63"/>
      <c r="X25" s="63"/>
      <c r="Y25" s="63"/>
      <c r="Z25" s="63"/>
      <c r="AA25" s="63"/>
      <c r="AB25" s="63"/>
      <c r="AC25" s="63"/>
      <c r="AD25" s="63"/>
      <c r="AE25" s="64"/>
      <c r="AF25" s="64"/>
      <c r="AG25" s="65"/>
      <c r="AH25" s="65"/>
      <c r="AI25" s="65"/>
      <c r="AJ25" s="65"/>
      <c r="AK25" s="65"/>
      <c r="AL25" s="65"/>
      <c r="AM25" s="65"/>
      <c r="AN25" s="58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</row>
    <row r="26" spans="1:258" ht="14.1" customHeight="1">
      <c r="A26" s="104"/>
      <c r="B26" s="374">
        <f>Enter!B27</f>
        <v>0</v>
      </c>
      <c r="C26" s="375"/>
      <c r="D26" s="375"/>
      <c r="E26" s="376"/>
      <c r="F26" s="102">
        <f>Enter!F27</f>
        <v>4869</v>
      </c>
      <c r="G26" s="102">
        <f>Enter!G27</f>
        <v>0</v>
      </c>
      <c r="H26" s="102">
        <f>Enter!H27</f>
        <v>0</v>
      </c>
      <c r="I26" s="102">
        <f>Enter!I27</f>
        <v>0</v>
      </c>
      <c r="J26" s="102">
        <f>Enter!J27</f>
        <v>0</v>
      </c>
      <c r="K26" s="102">
        <f>Enter!K27</f>
        <v>0</v>
      </c>
      <c r="L26" s="102">
        <f>Enter!L27</f>
        <v>0</v>
      </c>
      <c r="M26" s="102">
        <f>Enter!M27</f>
        <v>4869</v>
      </c>
      <c r="N26" s="102">
        <f>Enter!N27</f>
        <v>486</v>
      </c>
      <c r="O26" s="102">
        <f>Enter!O27</f>
        <v>0</v>
      </c>
      <c r="P26" s="102">
        <f>Enter!P27</f>
        <v>0</v>
      </c>
      <c r="Q26" s="102">
        <f>Enter!Q27</f>
        <v>0</v>
      </c>
      <c r="R26" s="102">
        <f>Enter!R27</f>
        <v>0</v>
      </c>
      <c r="S26" s="105">
        <f t="shared" ref="S26" si="0">SUM(S14:S25)</f>
        <v>0</v>
      </c>
      <c r="T26" s="126"/>
      <c r="U26" s="102">
        <f>Enter!U27</f>
        <v>0</v>
      </c>
      <c r="V26" s="102">
        <f>Enter!V27</f>
        <v>0</v>
      </c>
      <c r="W26" s="63"/>
      <c r="X26" s="63"/>
      <c r="Y26" s="63"/>
      <c r="Z26" s="63"/>
      <c r="AA26" s="63"/>
      <c r="AB26" s="63"/>
      <c r="AC26" s="63"/>
      <c r="AD26" s="63"/>
      <c r="AE26" s="64"/>
      <c r="AF26" s="64"/>
      <c r="AG26" s="65"/>
      <c r="AH26" s="65"/>
      <c r="AI26" s="65"/>
      <c r="AJ26" s="65"/>
      <c r="AK26" s="65"/>
      <c r="AL26" s="65"/>
      <c r="AM26" s="65"/>
      <c r="AN26" s="58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</row>
    <row r="27" spans="1:258" ht="22.5" customHeight="1">
      <c r="A27" s="106" t="s">
        <v>21</v>
      </c>
      <c r="B27" s="374">
        <f>Enter!B27</f>
        <v>0</v>
      </c>
      <c r="C27" s="375"/>
      <c r="D27" s="375"/>
      <c r="E27" s="376"/>
      <c r="F27" s="102">
        <f>Enter!F27</f>
        <v>4869</v>
      </c>
      <c r="G27" s="102">
        <f>Enter!G27</f>
        <v>0</v>
      </c>
      <c r="H27" s="102">
        <f>Enter!H27</f>
        <v>0</v>
      </c>
      <c r="I27" s="102">
        <f>Enter!I27</f>
        <v>0</v>
      </c>
      <c r="J27" s="102">
        <f>Enter!J27</f>
        <v>0</v>
      </c>
      <c r="K27" s="102">
        <f>Enter!K27</f>
        <v>0</v>
      </c>
      <c r="L27" s="102">
        <f>Enter!L27</f>
        <v>0</v>
      </c>
      <c r="M27" s="102">
        <f>Enter!M27</f>
        <v>4869</v>
      </c>
      <c r="N27" s="102">
        <f>Enter!N27</f>
        <v>486</v>
      </c>
      <c r="O27" s="102">
        <f>Enter!O27</f>
        <v>0</v>
      </c>
      <c r="P27" s="102">
        <f>Enter!P27</f>
        <v>0</v>
      </c>
      <c r="Q27" s="102">
        <f>Enter!Q27</f>
        <v>0</v>
      </c>
      <c r="R27" s="102">
        <f>Enter!R27</f>
        <v>0</v>
      </c>
      <c r="S27" s="102">
        <f>Enter!S27</f>
        <v>0</v>
      </c>
      <c r="T27" s="102">
        <f>Enter!T27</f>
        <v>0</v>
      </c>
      <c r="U27" s="102">
        <f>Enter!U27</f>
        <v>0</v>
      </c>
      <c r="V27" s="102">
        <f>Enter!V27</f>
        <v>0</v>
      </c>
      <c r="W27" s="63"/>
      <c r="X27" s="63"/>
      <c r="Y27" s="63"/>
      <c r="Z27" s="63"/>
      <c r="AA27" s="63"/>
      <c r="AB27" s="63"/>
      <c r="AC27" s="63"/>
      <c r="AD27" s="63"/>
      <c r="AE27" s="64"/>
      <c r="AF27" s="64"/>
      <c r="AG27" s="65"/>
      <c r="AH27" s="65"/>
      <c r="AI27" s="65"/>
      <c r="AJ27" s="65"/>
      <c r="AK27" s="65"/>
      <c r="AL27" s="65"/>
      <c r="AM27" s="65"/>
      <c r="AN27" s="58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</row>
    <row r="28" spans="1:258" ht="14.1" customHeight="1">
      <c r="A28" s="106" t="s">
        <v>21</v>
      </c>
      <c r="B28" s="374">
        <f>Enter!B28</f>
        <v>0</v>
      </c>
      <c r="C28" s="375"/>
      <c r="D28" s="375"/>
      <c r="E28" s="376"/>
      <c r="F28" s="102">
        <f>Enter!F28</f>
        <v>0</v>
      </c>
      <c r="G28" s="102">
        <f>Enter!G28</f>
        <v>0</v>
      </c>
      <c r="H28" s="102">
        <f>Enter!H28</f>
        <v>0</v>
      </c>
      <c r="I28" s="102">
        <f>Enter!I28</f>
        <v>0</v>
      </c>
      <c r="J28" s="102">
        <f>Enter!J28</f>
        <v>0</v>
      </c>
      <c r="K28" s="102">
        <f>Enter!K28</f>
        <v>0</v>
      </c>
      <c r="L28" s="102">
        <f>Enter!L28</f>
        <v>0</v>
      </c>
      <c r="M28" s="102">
        <f>Enter!M28</f>
        <v>0</v>
      </c>
      <c r="N28" s="102">
        <f>Enter!N28</f>
        <v>0</v>
      </c>
      <c r="O28" s="102">
        <f>Enter!O28</f>
        <v>0</v>
      </c>
      <c r="P28" s="102">
        <f>Enter!P28</f>
        <v>0</v>
      </c>
      <c r="Q28" s="102">
        <f>Enter!Q28</f>
        <v>0</v>
      </c>
      <c r="R28" s="102">
        <f>Enter!R28</f>
        <v>0</v>
      </c>
      <c r="S28" s="102">
        <f>Enter!S28</f>
        <v>0</v>
      </c>
      <c r="T28" s="102">
        <f>Enter!T28</f>
        <v>0</v>
      </c>
      <c r="U28" s="102">
        <f>Enter!U28</f>
        <v>0</v>
      </c>
      <c r="V28" s="102">
        <f>Enter!V28</f>
        <v>0</v>
      </c>
      <c r="W28" s="63"/>
      <c r="X28" s="63"/>
      <c r="Y28" s="63"/>
      <c r="Z28" s="63"/>
      <c r="AA28" s="63"/>
      <c r="AB28" s="63"/>
      <c r="AC28" s="63"/>
      <c r="AD28" s="63"/>
      <c r="AE28" s="64"/>
      <c r="AF28" s="64"/>
      <c r="AG28" s="65"/>
      <c r="AH28" s="65"/>
      <c r="AI28" s="65"/>
      <c r="AJ28" s="65"/>
      <c r="AK28" s="65"/>
      <c r="AL28" s="65"/>
      <c r="AM28" s="65"/>
      <c r="AN28" s="58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</row>
    <row r="29" spans="1:258" ht="14.1" customHeight="1">
      <c r="A29" s="106" t="s">
        <v>22</v>
      </c>
      <c r="B29" s="374">
        <f>Enter!B29</f>
        <v>0</v>
      </c>
      <c r="C29" s="375"/>
      <c r="D29" s="375"/>
      <c r="E29" s="376"/>
      <c r="F29" s="102">
        <f>Enter!F29</f>
        <v>0</v>
      </c>
      <c r="G29" s="102">
        <f>Enter!G29</f>
        <v>0</v>
      </c>
      <c r="H29" s="102">
        <f>Enter!H29</f>
        <v>0</v>
      </c>
      <c r="I29" s="102">
        <f>Enter!I29</f>
        <v>0</v>
      </c>
      <c r="J29" s="102">
        <f>Enter!J29</f>
        <v>0</v>
      </c>
      <c r="K29" s="102">
        <f>Enter!K29</f>
        <v>0</v>
      </c>
      <c r="L29" s="102">
        <f>Enter!L29</f>
        <v>0</v>
      </c>
      <c r="M29" s="102">
        <f>Enter!M29</f>
        <v>0</v>
      </c>
      <c r="N29" s="102">
        <f>Enter!N29</f>
        <v>0</v>
      </c>
      <c r="O29" s="102">
        <f>Enter!O29</f>
        <v>0</v>
      </c>
      <c r="P29" s="102">
        <f>Enter!P29</f>
        <v>0</v>
      </c>
      <c r="Q29" s="102">
        <f>Enter!Q29</f>
        <v>0</v>
      </c>
      <c r="R29" s="102">
        <f>Enter!R29</f>
        <v>0</v>
      </c>
      <c r="S29" s="102">
        <f>Enter!S29</f>
        <v>0</v>
      </c>
      <c r="T29" s="102">
        <f>Enter!T29</f>
        <v>0</v>
      </c>
      <c r="U29" s="102">
        <f>Enter!U29</f>
        <v>0</v>
      </c>
      <c r="V29" s="102">
        <f>Enter!V29</f>
        <v>0</v>
      </c>
      <c r="AG29" s="58"/>
      <c r="AN29" s="58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</row>
    <row r="30" spans="1:258" ht="14.1" customHeight="1">
      <c r="A30" s="106" t="s">
        <v>152</v>
      </c>
      <c r="B30" s="374">
        <f>Enter!B30</f>
        <v>0</v>
      </c>
      <c r="C30" s="375"/>
      <c r="D30" s="375"/>
      <c r="E30" s="376"/>
      <c r="F30" s="102">
        <f>Enter!F30</f>
        <v>0</v>
      </c>
      <c r="G30" s="102">
        <f>Enter!G30</f>
        <v>0</v>
      </c>
      <c r="H30" s="102">
        <f>Enter!H30</f>
        <v>0</v>
      </c>
      <c r="I30" s="102">
        <f>Enter!I30</f>
        <v>0</v>
      </c>
      <c r="J30" s="102">
        <f>Enter!J30</f>
        <v>0</v>
      </c>
      <c r="K30" s="102">
        <f>Enter!K30</f>
        <v>0</v>
      </c>
      <c r="L30" s="102">
        <f>Enter!L30</f>
        <v>0</v>
      </c>
      <c r="M30" s="102">
        <f>Enter!M30</f>
        <v>0</v>
      </c>
      <c r="N30" s="102">
        <f>Enter!N30</f>
        <v>0</v>
      </c>
      <c r="O30" s="102">
        <f>Enter!O30</f>
        <v>0</v>
      </c>
      <c r="P30" s="102">
        <f>Enter!P30</f>
        <v>0</v>
      </c>
      <c r="Q30" s="102">
        <f>Enter!Q30</f>
        <v>0</v>
      </c>
      <c r="R30" s="102">
        <f>Enter!R30</f>
        <v>0</v>
      </c>
      <c r="S30" s="102">
        <f>Enter!S30</f>
        <v>0</v>
      </c>
      <c r="T30" s="102">
        <f>Enter!T30</f>
        <v>0</v>
      </c>
      <c r="U30" s="102">
        <f>Enter!U30</f>
        <v>0</v>
      </c>
      <c r="V30" s="102">
        <f>Enter!V30</f>
        <v>0</v>
      </c>
      <c r="AG30" s="58"/>
      <c r="AN30" s="58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14.1" customHeight="1">
      <c r="A31" s="106" t="s">
        <v>24</v>
      </c>
      <c r="B31" s="374">
        <f>Enter!B31</f>
        <v>0</v>
      </c>
      <c r="C31" s="375"/>
      <c r="D31" s="375"/>
      <c r="E31" s="376"/>
      <c r="F31" s="102">
        <f>Enter!F31</f>
        <v>0</v>
      </c>
      <c r="G31" s="102">
        <f>Enter!G31</f>
        <v>0</v>
      </c>
      <c r="H31" s="102">
        <f>Enter!H31</f>
        <v>0</v>
      </c>
      <c r="I31" s="102">
        <f>Enter!I31</f>
        <v>0</v>
      </c>
      <c r="J31" s="102">
        <f>Enter!J31</f>
        <v>0</v>
      </c>
      <c r="K31" s="102">
        <f>Enter!K31</f>
        <v>0</v>
      </c>
      <c r="L31" s="102">
        <f>Enter!L31</f>
        <v>0</v>
      </c>
      <c r="M31" s="102">
        <f>Enter!M31</f>
        <v>0</v>
      </c>
      <c r="N31" s="102">
        <f>Enter!N31</f>
        <v>0</v>
      </c>
      <c r="O31" s="102">
        <f>Enter!O31</f>
        <v>0</v>
      </c>
      <c r="P31" s="102">
        <f>Enter!P31</f>
        <v>0</v>
      </c>
      <c r="Q31" s="102">
        <f>Enter!Q31</f>
        <v>0</v>
      </c>
      <c r="R31" s="102">
        <f>Enter!R31</f>
        <v>0</v>
      </c>
      <c r="S31" s="102">
        <f>Enter!S31</f>
        <v>0</v>
      </c>
      <c r="T31" s="102">
        <f>Enter!T31</f>
        <v>0</v>
      </c>
      <c r="U31" s="102">
        <f>Enter!U31</f>
        <v>0</v>
      </c>
      <c r="V31" s="102">
        <f>Enter!V31</f>
        <v>0</v>
      </c>
      <c r="AG31" s="58"/>
      <c r="AN31" s="58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</row>
    <row r="32" spans="1:258" ht="14.1" customHeight="1">
      <c r="A32" s="106" t="s">
        <v>24</v>
      </c>
      <c r="B32" s="374">
        <f>Enter!B32</f>
        <v>0</v>
      </c>
      <c r="C32" s="375"/>
      <c r="D32" s="375"/>
      <c r="E32" s="376"/>
      <c r="F32" s="102">
        <f>Enter!F32</f>
        <v>0</v>
      </c>
      <c r="G32" s="102">
        <f>Enter!G32</f>
        <v>0</v>
      </c>
      <c r="H32" s="102">
        <f>Enter!H32</f>
        <v>0</v>
      </c>
      <c r="I32" s="102">
        <f>Enter!I32</f>
        <v>0</v>
      </c>
      <c r="J32" s="102">
        <f>Enter!J32</f>
        <v>0</v>
      </c>
      <c r="K32" s="102">
        <f>Enter!K32</f>
        <v>0</v>
      </c>
      <c r="L32" s="102">
        <f>Enter!L32</f>
        <v>0</v>
      </c>
      <c r="M32" s="102">
        <f>Enter!M32</f>
        <v>0</v>
      </c>
      <c r="N32" s="102">
        <f>Enter!N32</f>
        <v>0</v>
      </c>
      <c r="O32" s="102">
        <f>Enter!O32</f>
        <v>0</v>
      </c>
      <c r="P32" s="102">
        <f>Enter!P32</f>
        <v>0</v>
      </c>
      <c r="Q32" s="102">
        <f>Enter!Q32</f>
        <v>0</v>
      </c>
      <c r="R32" s="102">
        <f>Enter!R32</f>
        <v>0</v>
      </c>
      <c r="S32" s="102">
        <f>Enter!S32</f>
        <v>0</v>
      </c>
      <c r="T32" s="102">
        <f>Enter!T32</f>
        <v>0</v>
      </c>
      <c r="U32" s="102">
        <f>Enter!U32</f>
        <v>0</v>
      </c>
      <c r="V32" s="102">
        <f>Enter!V32</f>
        <v>0</v>
      </c>
      <c r="AG32" s="58"/>
      <c r="AN32" s="58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</row>
    <row r="33" spans="1:258" ht="14.1" customHeight="1">
      <c r="A33" s="106" t="s">
        <v>24</v>
      </c>
      <c r="B33" s="374">
        <f>Enter!B33</f>
        <v>0</v>
      </c>
      <c r="C33" s="375"/>
      <c r="D33" s="375"/>
      <c r="E33" s="376"/>
      <c r="F33" s="102">
        <f>Enter!F33</f>
        <v>0</v>
      </c>
      <c r="G33" s="102">
        <f>Enter!G33</f>
        <v>0</v>
      </c>
      <c r="H33" s="102">
        <f>Enter!H33</f>
        <v>0</v>
      </c>
      <c r="I33" s="102">
        <f>Enter!I33</f>
        <v>0</v>
      </c>
      <c r="J33" s="102">
        <f>Enter!J33</f>
        <v>0</v>
      </c>
      <c r="K33" s="102">
        <f>Enter!K33</f>
        <v>0</v>
      </c>
      <c r="L33" s="102">
        <f>Enter!L33</f>
        <v>0</v>
      </c>
      <c r="M33" s="102">
        <f>Enter!M33</f>
        <v>0</v>
      </c>
      <c r="N33" s="102">
        <f>Enter!N33</f>
        <v>0</v>
      </c>
      <c r="O33" s="102">
        <f>Enter!O33</f>
        <v>0</v>
      </c>
      <c r="P33" s="102">
        <f>Enter!P33</f>
        <v>0</v>
      </c>
      <c r="Q33" s="102">
        <f>Enter!Q33</f>
        <v>0</v>
      </c>
      <c r="R33" s="102">
        <f>Enter!R33</f>
        <v>0</v>
      </c>
      <c r="S33" s="102">
        <f>Enter!S33</f>
        <v>0</v>
      </c>
      <c r="T33" s="102">
        <f>Enter!T33</f>
        <v>0</v>
      </c>
      <c r="U33" s="102">
        <f>Enter!U33</f>
        <v>0</v>
      </c>
      <c r="V33" s="102">
        <f>Enter!V33</f>
        <v>0</v>
      </c>
      <c r="AG33" s="58"/>
      <c r="AN33" s="58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</row>
    <row r="34" spans="1:258" ht="14.1" customHeight="1">
      <c r="A34" s="106" t="s">
        <v>25</v>
      </c>
      <c r="B34" s="374">
        <f>Enter!B34</f>
        <v>0</v>
      </c>
      <c r="C34" s="375"/>
      <c r="D34" s="375"/>
      <c r="E34" s="376"/>
      <c r="F34" s="102">
        <f>Enter!F34</f>
        <v>0</v>
      </c>
      <c r="G34" s="102">
        <f>Enter!G34</f>
        <v>0</v>
      </c>
      <c r="H34" s="102">
        <f>Enter!H34</f>
        <v>0</v>
      </c>
      <c r="I34" s="102">
        <f>Enter!I34</f>
        <v>0</v>
      </c>
      <c r="J34" s="102">
        <f>Enter!J34</f>
        <v>0</v>
      </c>
      <c r="K34" s="102">
        <f>Enter!K34</f>
        <v>0</v>
      </c>
      <c r="L34" s="102">
        <f>Enter!L34</f>
        <v>0</v>
      </c>
      <c r="M34" s="102">
        <f>Enter!M34</f>
        <v>0</v>
      </c>
      <c r="N34" s="102">
        <f>Enter!N34</f>
        <v>0</v>
      </c>
      <c r="O34" s="102">
        <f>Enter!O34</f>
        <v>0</v>
      </c>
      <c r="P34" s="102">
        <f>Enter!P34</f>
        <v>0</v>
      </c>
      <c r="Q34" s="102">
        <f>Enter!Q34</f>
        <v>0</v>
      </c>
      <c r="R34" s="102">
        <f>Enter!R34</f>
        <v>0</v>
      </c>
      <c r="S34" s="102">
        <f>Enter!S34</f>
        <v>0</v>
      </c>
      <c r="T34" s="102">
        <f>Enter!T34</f>
        <v>0</v>
      </c>
      <c r="U34" s="102">
        <f>Enter!U34</f>
        <v>0</v>
      </c>
      <c r="V34" s="102">
        <f>Enter!V34</f>
        <v>0</v>
      </c>
      <c r="AG34" s="58"/>
      <c r="AN34" s="58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</row>
    <row r="35" spans="1:258" ht="14.1" customHeight="1">
      <c r="A35" s="106" t="s">
        <v>60</v>
      </c>
      <c r="B35" s="374">
        <f>Enter!B36</f>
        <v>652200</v>
      </c>
      <c r="C35" s="375"/>
      <c r="D35" s="142"/>
      <c r="E35" s="143"/>
      <c r="F35" s="102">
        <f>Enter!F36</f>
        <v>337010</v>
      </c>
      <c r="G35" s="102">
        <f>Enter!G36</f>
        <v>0</v>
      </c>
      <c r="H35" s="102">
        <f>Enter!H36</f>
        <v>51600</v>
      </c>
      <c r="I35" s="102">
        <f>Enter!I36</f>
        <v>0</v>
      </c>
      <c r="J35" s="102">
        <f>Enter!J36</f>
        <v>0</v>
      </c>
      <c r="K35" s="102">
        <f>Enter!K36</f>
        <v>0</v>
      </c>
      <c r="L35" s="102">
        <f>Enter!L36</f>
        <v>3600</v>
      </c>
      <c r="M35" s="102">
        <f>Enter!M36</f>
        <v>1044410</v>
      </c>
      <c r="N35" s="102">
        <f>Enter!N36</f>
        <v>98920</v>
      </c>
      <c r="O35" s="102">
        <f>Enter!O36</f>
        <v>0</v>
      </c>
      <c r="P35" s="102">
        <f>Enter!P36</f>
        <v>1320</v>
      </c>
      <c r="Q35" s="102">
        <f>Enter!Q36</f>
        <v>840</v>
      </c>
      <c r="R35" s="102">
        <f>Enter!R36</f>
        <v>0</v>
      </c>
      <c r="S35" s="102">
        <f>Enter!S36</f>
        <v>0</v>
      </c>
      <c r="T35" s="102">
        <f>Enter!T36</f>
        <v>2500</v>
      </c>
      <c r="U35" s="102">
        <f>Enter!U36</f>
        <v>44107</v>
      </c>
      <c r="V35" s="102">
        <f>Enter!V36</f>
        <v>1764</v>
      </c>
      <c r="AG35" s="58"/>
      <c r="AN35" s="58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</row>
    <row r="36" spans="1:258" ht="14.1" customHeight="1">
      <c r="A36" s="254"/>
      <c r="B36" s="116"/>
      <c r="C36" s="116"/>
      <c r="D36" s="116"/>
      <c r="E36" s="62"/>
      <c r="F36" s="63"/>
      <c r="G36" s="63"/>
      <c r="H36" s="63"/>
      <c r="I36" s="103"/>
      <c r="J36" s="63"/>
      <c r="K36" s="63"/>
      <c r="L36" s="63"/>
      <c r="M36" s="64"/>
      <c r="N36" s="64"/>
      <c r="O36" s="64"/>
      <c r="P36" s="65"/>
      <c r="Q36" s="65"/>
      <c r="R36" s="65"/>
      <c r="S36" s="65"/>
      <c r="T36" s="65"/>
      <c r="U36" s="65"/>
      <c r="V36" s="65"/>
      <c r="AG36" s="58"/>
      <c r="AN36" s="58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</row>
    <row r="37" spans="1:258" ht="14.1" customHeight="1">
      <c r="A37" s="78"/>
      <c r="B37" s="94"/>
      <c r="C37" s="116"/>
      <c r="D37" s="116"/>
      <c r="E37" s="116"/>
      <c r="F37" s="62"/>
      <c r="G37" s="63"/>
      <c r="H37" s="63"/>
      <c r="I37" s="63"/>
      <c r="J37" s="103"/>
      <c r="K37" s="63"/>
      <c r="L37" s="63"/>
      <c r="M37" s="63"/>
      <c r="N37" s="64"/>
      <c r="O37" s="64"/>
      <c r="P37" s="64"/>
      <c r="Q37" s="65"/>
      <c r="R37" s="65"/>
      <c r="S37" s="65"/>
      <c r="T37" s="65"/>
      <c r="U37" s="65"/>
      <c r="V37" s="65"/>
      <c r="W37" s="65"/>
      <c r="AG37" s="58"/>
      <c r="AN37" s="58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</row>
    <row r="38" spans="1:258" ht="14.1" customHeight="1">
      <c r="A38" s="78"/>
      <c r="B38" s="94"/>
      <c r="C38" s="127"/>
      <c r="D38" s="127"/>
      <c r="E38" s="127"/>
      <c r="F38" s="127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U38" s="65"/>
      <c r="W38" s="65"/>
      <c r="X38" s="65"/>
      <c r="Y38" s="129"/>
      <c r="Z38" s="63"/>
      <c r="AA38" s="63"/>
      <c r="AB38" s="63"/>
      <c r="AC38" s="63"/>
      <c r="AD38" s="63"/>
      <c r="AE38" s="63"/>
      <c r="AF38" s="63"/>
      <c r="AG38" s="64"/>
      <c r="AH38" s="64"/>
      <c r="AI38" s="65"/>
      <c r="AJ38" s="65"/>
      <c r="AK38" s="65"/>
      <c r="AL38" s="65"/>
      <c r="AM38" s="65"/>
      <c r="AN38" s="65"/>
      <c r="AO38" s="65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</row>
    <row r="39" spans="1:258" ht="14.1" customHeight="1">
      <c r="A39" s="78"/>
      <c r="B39" s="94"/>
      <c r="C39" s="127"/>
      <c r="D39" s="127"/>
      <c r="E39" s="127"/>
      <c r="F39" s="127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94" t="s">
        <v>125</v>
      </c>
      <c r="R39" s="128"/>
      <c r="S39" s="128"/>
      <c r="U39" s="65"/>
      <c r="W39" s="65"/>
      <c r="X39" s="65"/>
      <c r="Y39" s="129"/>
      <c r="Z39" s="63"/>
      <c r="AA39" s="63"/>
      <c r="AB39" s="63"/>
      <c r="AC39" s="63"/>
      <c r="AD39" s="63"/>
      <c r="AE39" s="63"/>
      <c r="AF39" s="63"/>
      <c r="AG39" s="64"/>
      <c r="AH39" s="64"/>
      <c r="AI39" s="65"/>
      <c r="AJ39" s="65"/>
      <c r="AK39" s="65"/>
      <c r="AL39" s="65"/>
      <c r="AM39" s="65"/>
      <c r="AN39" s="65"/>
      <c r="AO39" s="65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</row>
    <row r="40" spans="1:258" ht="14.1" customHeight="1">
      <c r="A40" s="78"/>
      <c r="B40" s="94"/>
      <c r="C40" s="127"/>
      <c r="D40" s="127"/>
      <c r="E40" s="127"/>
      <c r="F40" s="127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94"/>
      <c r="U40" s="65"/>
      <c r="W40" s="65"/>
      <c r="X40" s="65"/>
      <c r="Y40" s="129"/>
      <c r="Z40" s="63"/>
      <c r="AA40" s="63"/>
      <c r="AB40" s="63"/>
      <c r="AC40" s="63"/>
      <c r="AD40" s="63"/>
      <c r="AE40" s="63"/>
      <c r="AF40" s="63"/>
      <c r="AG40" s="64"/>
      <c r="AH40" s="64"/>
      <c r="AI40" s="65"/>
      <c r="AJ40" s="65"/>
      <c r="AK40" s="65"/>
      <c r="AL40" s="65"/>
      <c r="AM40" s="65"/>
      <c r="AN40" s="65"/>
      <c r="AO40" s="65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</row>
    <row r="41" spans="1:258" ht="14.1" customHeight="1" thickBot="1">
      <c r="A41" s="78"/>
      <c r="B41" s="94"/>
      <c r="C41" s="127"/>
      <c r="D41" s="127"/>
      <c r="E41" s="127"/>
      <c r="F41" s="127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94"/>
      <c r="U41" s="65"/>
      <c r="W41" s="65"/>
      <c r="X41" s="65"/>
      <c r="Y41" s="129"/>
      <c r="Z41" s="63"/>
      <c r="AA41" s="63"/>
      <c r="AB41" s="63"/>
      <c r="AC41" s="63"/>
      <c r="AD41" s="63"/>
      <c r="AE41" s="63"/>
      <c r="AF41" s="63"/>
      <c r="AG41" s="64"/>
      <c r="AH41" s="64"/>
      <c r="AI41" s="65"/>
      <c r="AJ41" s="65"/>
      <c r="AK41" s="65"/>
      <c r="AL41" s="65"/>
      <c r="AM41" s="65"/>
      <c r="AN41" s="65"/>
      <c r="AO41" s="65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</row>
    <row r="42" spans="1:258" ht="15" customHeight="1" thickBot="1">
      <c r="A42" s="516" t="s">
        <v>210</v>
      </c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8"/>
      <c r="U42" s="172"/>
      <c r="V42" s="68"/>
      <c r="W42" s="68"/>
      <c r="X42" s="68"/>
      <c r="Y42" s="63"/>
      <c r="Z42" s="63"/>
      <c r="AA42" s="63"/>
      <c r="AB42" s="63"/>
      <c r="AC42" s="64"/>
      <c r="AD42" s="64"/>
      <c r="AE42" s="65"/>
      <c r="AF42" s="65"/>
      <c r="AG42" s="65"/>
      <c r="AH42" s="65"/>
      <c r="AI42" s="65"/>
      <c r="AJ42" s="65"/>
      <c r="AK42" s="65"/>
      <c r="AN42" s="58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</row>
    <row r="43" spans="1:258" ht="15" customHeight="1">
      <c r="A43" s="124" t="s">
        <v>88</v>
      </c>
      <c r="B43" s="67"/>
      <c r="C43" s="68" t="str">
        <f>C2</f>
        <v>LOURDU JASMINE METILDA J</v>
      </c>
      <c r="D43" s="69"/>
      <c r="E43" s="69"/>
      <c r="F43" s="70"/>
      <c r="G43" s="69"/>
      <c r="H43" s="69"/>
      <c r="I43" s="69"/>
      <c r="J43" s="69"/>
      <c r="O43" s="69" t="s">
        <v>89</v>
      </c>
      <c r="P43" s="69"/>
      <c r="Q43" s="69"/>
      <c r="R43" s="478" t="str">
        <f>R2</f>
        <v>P.G.ASST.</v>
      </c>
      <c r="S43" s="478"/>
      <c r="T43" s="479"/>
      <c r="U43" s="124"/>
      <c r="V43" s="69"/>
      <c r="W43" s="69"/>
      <c r="X43" s="69"/>
      <c r="Y43" s="63"/>
      <c r="Z43" s="63"/>
      <c r="AA43" s="63"/>
      <c r="AB43" s="63"/>
      <c r="AC43" s="63"/>
      <c r="AD43" s="64"/>
      <c r="AE43" s="64"/>
      <c r="AF43" s="65"/>
      <c r="AG43" s="65"/>
      <c r="AH43" s="65"/>
      <c r="AI43" s="65"/>
      <c r="AJ43" s="65"/>
      <c r="AK43" s="65"/>
      <c r="AL43" s="65"/>
      <c r="AN43" s="58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</row>
    <row r="44" spans="1:258" ht="15" customHeight="1">
      <c r="A44" s="500" t="s">
        <v>90</v>
      </c>
      <c r="B44" s="448"/>
      <c r="C44" s="448"/>
      <c r="D44" s="72" t="str">
        <f>D3</f>
        <v>JOSEPH RAJ</v>
      </c>
      <c r="E44" s="69"/>
      <c r="F44" s="69"/>
      <c r="G44" s="69"/>
      <c r="H44" s="69"/>
      <c r="I44" s="69"/>
      <c r="J44" s="69"/>
      <c r="O44" s="69" t="s">
        <v>91</v>
      </c>
      <c r="P44" s="69"/>
      <c r="Q44" s="69"/>
      <c r="R44" s="69"/>
      <c r="S44" s="148" t="str">
        <f>S3</f>
        <v>XXXXXXXXX</v>
      </c>
      <c r="T44" s="149"/>
      <c r="U44" s="173"/>
      <c r="V44" s="148"/>
      <c r="W44" s="148"/>
      <c r="X44" s="148"/>
      <c r="Y44" s="63"/>
      <c r="Z44" s="63"/>
      <c r="AA44" s="63"/>
      <c r="AB44" s="63"/>
      <c r="AC44" s="63"/>
      <c r="AD44" s="64"/>
      <c r="AE44" s="64"/>
      <c r="AF44" s="65"/>
      <c r="AG44" s="65"/>
      <c r="AH44" s="65"/>
      <c r="AI44" s="65"/>
      <c r="AJ44" s="65"/>
      <c r="AK44" s="65"/>
      <c r="AL44" s="65"/>
      <c r="AN44" s="58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</row>
    <row r="45" spans="1:258" ht="15" customHeight="1">
      <c r="A45" s="124" t="s">
        <v>92</v>
      </c>
      <c r="B45" s="69"/>
      <c r="C45" s="69"/>
      <c r="D45" s="446">
        <f>D4</f>
        <v>28657</v>
      </c>
      <c r="E45" s="446"/>
      <c r="F45" s="446"/>
      <c r="G45" s="446"/>
      <c r="H45" s="446"/>
      <c r="I45" s="446"/>
      <c r="J45" s="69"/>
      <c r="O45" s="69" t="s">
        <v>179</v>
      </c>
      <c r="P45" s="69"/>
      <c r="Q45" s="69"/>
      <c r="R45" s="478" t="str">
        <f>R4</f>
        <v>460XXXXXX2345</v>
      </c>
      <c r="S45" s="478"/>
      <c r="T45" s="479"/>
      <c r="U45" s="173"/>
      <c r="V45" s="148"/>
      <c r="W45" s="148"/>
      <c r="X45" s="148"/>
      <c r="Y45" s="63"/>
      <c r="Z45" s="63"/>
      <c r="AA45" s="63"/>
      <c r="AB45" s="63"/>
      <c r="AC45" s="63"/>
      <c r="AD45" s="64"/>
      <c r="AE45" s="64"/>
      <c r="AF45" s="65"/>
      <c r="AG45" s="65"/>
      <c r="AH45" s="65"/>
      <c r="AI45" s="65"/>
      <c r="AJ45" s="65"/>
      <c r="AK45" s="65"/>
      <c r="AL45" s="65"/>
      <c r="AN45" s="58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</row>
    <row r="46" spans="1:258" ht="15" customHeight="1">
      <c r="A46" s="124" t="s">
        <v>93</v>
      </c>
      <c r="B46" s="69"/>
      <c r="C46" s="397" t="str">
        <f>C5</f>
        <v>GOVT HR SEC SCHOOL</v>
      </c>
      <c r="D46" s="397"/>
      <c r="E46" s="397"/>
      <c r="F46" s="397"/>
      <c r="G46" s="397"/>
      <c r="H46" s="397"/>
      <c r="I46" s="397"/>
      <c r="J46" s="69"/>
      <c r="O46" s="69"/>
      <c r="P46" s="69"/>
      <c r="Q46" s="69"/>
      <c r="R46" s="69"/>
      <c r="S46" s="125"/>
      <c r="T46" s="150"/>
      <c r="U46" s="174"/>
      <c r="V46" s="125"/>
      <c r="W46" s="125"/>
      <c r="X46" s="125"/>
      <c r="Y46" s="63"/>
      <c r="Z46" s="63"/>
      <c r="AA46" s="63"/>
      <c r="AB46" s="63"/>
      <c r="AC46" s="63"/>
      <c r="AD46" s="64"/>
      <c r="AE46" s="64"/>
      <c r="AF46" s="65"/>
      <c r="AG46" s="65"/>
      <c r="AH46" s="65"/>
      <c r="AI46" s="65"/>
      <c r="AJ46" s="65"/>
      <c r="AK46" s="65"/>
      <c r="AL46" s="65"/>
      <c r="AN46" s="58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</row>
    <row r="47" spans="1:258" ht="15" customHeight="1" thickBot="1">
      <c r="A47" s="501" t="str">
        <f>A6</f>
        <v>T.MEDUPATTI, MADURAI</v>
      </c>
      <c r="B47" s="502"/>
      <c r="C47" s="502"/>
      <c r="D47" s="502"/>
      <c r="E47" s="502"/>
      <c r="F47" s="502"/>
      <c r="G47" s="502"/>
      <c r="H47" s="502"/>
      <c r="I47" s="502"/>
      <c r="J47" s="130"/>
      <c r="K47" s="131"/>
      <c r="L47" s="131"/>
      <c r="M47" s="131"/>
      <c r="N47" s="131"/>
      <c r="O47" s="130"/>
      <c r="P47" s="130"/>
      <c r="Q47" s="130"/>
      <c r="R47" s="130"/>
      <c r="S47" s="132"/>
      <c r="T47" s="133"/>
      <c r="U47" s="174"/>
      <c r="V47" s="125"/>
      <c r="W47" s="125"/>
      <c r="X47" s="125"/>
      <c r="Y47" s="63"/>
      <c r="Z47" s="63"/>
      <c r="AA47" s="63"/>
      <c r="AB47" s="63"/>
      <c r="AC47" s="63"/>
      <c r="AD47" s="64"/>
      <c r="AE47" s="64"/>
      <c r="AF47" s="65"/>
      <c r="AG47" s="65"/>
      <c r="AH47" s="65"/>
      <c r="AI47" s="65"/>
      <c r="AJ47" s="65"/>
      <c r="AK47" s="65"/>
      <c r="AL47" s="65"/>
      <c r="AN47" s="58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</row>
    <row r="48" spans="1:258" ht="21.95" customHeight="1">
      <c r="A48" s="134" t="s">
        <v>94</v>
      </c>
      <c r="B48" s="135"/>
      <c r="C48" s="135"/>
      <c r="D48" s="135"/>
      <c r="E48" s="135"/>
      <c r="F48" s="135"/>
      <c r="G48" s="135"/>
      <c r="H48" s="135"/>
      <c r="I48" s="508" t="e">
        <f>ROUND(SUM((#REF!+#REF!)/12),-2)+100</f>
        <v>#REF!</v>
      </c>
      <c r="J48" s="508"/>
      <c r="K48" s="508"/>
      <c r="L48" s="255"/>
      <c r="M48" s="135"/>
      <c r="N48" s="135"/>
      <c r="O48" s="136"/>
      <c r="P48" s="136"/>
      <c r="Q48" s="136"/>
      <c r="R48" s="169" t="s">
        <v>39</v>
      </c>
      <c r="S48" s="514">
        <f>Enter!H78</f>
        <v>1044410</v>
      </c>
      <c r="T48" s="515"/>
      <c r="U48" s="78"/>
      <c r="V48" s="1"/>
      <c r="W48" s="1"/>
      <c r="X48" s="1"/>
      <c r="Y48" s="1"/>
      <c r="Z48" s="63"/>
      <c r="AA48" s="63"/>
      <c r="AB48" s="63"/>
      <c r="AC48" s="63"/>
      <c r="AD48" s="64"/>
      <c r="AE48" s="64"/>
      <c r="AF48" s="65"/>
      <c r="AG48" s="65"/>
      <c r="AH48" s="65"/>
      <c r="AI48" s="65"/>
      <c r="AJ48" s="65"/>
      <c r="AK48" s="65"/>
      <c r="AL48" s="65"/>
      <c r="AN48" s="58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</row>
    <row r="49" spans="1:259" ht="21.95" customHeight="1">
      <c r="A49" s="510" t="s">
        <v>201</v>
      </c>
      <c r="B49" s="510"/>
      <c r="C49" s="510"/>
      <c r="D49" s="510"/>
      <c r="E49" s="510"/>
      <c r="F49" s="510"/>
      <c r="G49" s="510"/>
      <c r="H49" s="510"/>
      <c r="I49" s="510"/>
      <c r="J49" s="510"/>
      <c r="K49" s="510"/>
      <c r="L49" s="510"/>
      <c r="M49" s="510"/>
      <c r="N49" s="510"/>
      <c r="O49" s="511"/>
      <c r="P49" s="177"/>
      <c r="Q49" s="175"/>
      <c r="R49" s="137" t="s">
        <v>39</v>
      </c>
      <c r="S49" s="509">
        <v>75000</v>
      </c>
      <c r="T49" s="509"/>
      <c r="U49" s="65"/>
      <c r="V49" s="65"/>
      <c r="W49" s="65"/>
      <c r="X49" s="65"/>
      <c r="Y49" s="65"/>
      <c r="Z49" s="11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63"/>
      <c r="AS49" s="63"/>
      <c r="AT49" s="63" t="s">
        <v>153</v>
      </c>
      <c r="AU49" s="63"/>
      <c r="AV49" s="63" t="e">
        <f>IF(#REF!&lt;250001,"---",IF(#REF!&lt;500001,#REF!-250000,IF(#REF!&gt;500000,"250000")))</f>
        <v>#REF!</v>
      </c>
      <c r="AW49" s="110" t="e">
        <f>IF(#REF!&lt;250001,"---",IF(#REF!&lt;500001,(#REF!-250000)*5%,IF(#REF!&gt;500000,#REF!)))</f>
        <v>#REF!</v>
      </c>
      <c r="AX49" s="108"/>
      <c r="AY49" s="63"/>
      <c r="AZ49" s="64"/>
      <c r="BA49" s="64"/>
      <c r="BB49" s="65"/>
      <c r="BC49" s="65"/>
      <c r="BD49" s="65"/>
      <c r="BE49" s="65"/>
      <c r="BF49" s="65"/>
      <c r="BG49" s="65"/>
      <c r="BH49" s="65"/>
      <c r="IY49" s="58"/>
    </row>
    <row r="50" spans="1:259" ht="21.95" customHeight="1">
      <c r="A50" s="195" t="s">
        <v>203</v>
      </c>
      <c r="B50" s="195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77"/>
      <c r="Q50" s="175"/>
      <c r="R50" s="137" t="s">
        <v>39</v>
      </c>
      <c r="S50" s="509">
        <f>Enter!H80</f>
        <v>969410</v>
      </c>
      <c r="T50" s="509"/>
      <c r="U50" s="65"/>
      <c r="V50" s="65"/>
      <c r="W50" s="65"/>
      <c r="X50" s="65"/>
      <c r="Y50" s="65"/>
      <c r="Z50" s="96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63"/>
      <c r="AS50" s="63"/>
      <c r="AT50" s="63" t="s">
        <v>154</v>
      </c>
      <c r="AU50" s="63"/>
      <c r="AV50" s="63" t="e">
        <f>IF(#REF!&lt;500001,"----",IF(#REF!&gt;1000001,"500000",#REF!-500000))</f>
        <v>#REF!</v>
      </c>
      <c r="AW50" s="110" t="e">
        <f>IF(AV50="----","----",IF(AV50&gt;0,AV50*20%))</f>
        <v>#REF!</v>
      </c>
      <c r="AX50" s="63"/>
      <c r="AY50" s="63"/>
      <c r="AZ50" s="64"/>
      <c r="BA50" s="64"/>
      <c r="BB50" s="65"/>
      <c r="BC50" s="65"/>
      <c r="BD50" s="65"/>
      <c r="BE50" s="65"/>
      <c r="BF50" s="65"/>
      <c r="BG50" s="65"/>
      <c r="BH50" s="65"/>
      <c r="IY50" s="58"/>
    </row>
    <row r="51" spans="1:259" ht="21.95" customHeight="1">
      <c r="A51" s="487" t="s">
        <v>72</v>
      </c>
      <c r="B51" s="488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9"/>
      <c r="U51" s="65"/>
      <c r="V51" s="65"/>
      <c r="W51" s="65"/>
      <c r="X51" s="65"/>
      <c r="Y51" s="96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63"/>
      <c r="AR51" s="63"/>
      <c r="AS51" s="63" t="s">
        <v>155</v>
      </c>
      <c r="AT51" s="63"/>
      <c r="AU51" s="63" t="e">
        <f>IF((#REF!-1000000)&gt;0,#REF!-1000000,IF((#REF!-1000000)&lt;0,"0"))</f>
        <v>#REF!</v>
      </c>
      <c r="AV51" s="63" t="e">
        <f>(AU51)*30%</f>
        <v>#REF!</v>
      </c>
      <c r="AW51" s="112" t="e">
        <f>IF(#REF!&gt;50000,50000,IF(#REF!&lt;50001,#REF!))</f>
        <v>#REF!</v>
      </c>
      <c r="AX51" s="63"/>
      <c r="AY51" s="64"/>
      <c r="AZ51" s="64"/>
      <c r="BA51" s="65"/>
      <c r="BB51" s="65"/>
      <c r="BC51" s="65"/>
      <c r="BD51" s="65"/>
      <c r="BE51" s="65"/>
      <c r="BF51" s="65"/>
      <c r="BG51" s="65"/>
    </row>
    <row r="52" spans="1:259" ht="20.100000000000001" customHeight="1">
      <c r="A52" s="505" t="s">
        <v>195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N52" s="499"/>
      <c r="O52" s="178"/>
      <c r="P52" s="178"/>
      <c r="Q52" s="176"/>
      <c r="R52" s="138" t="s">
        <v>39</v>
      </c>
      <c r="S52" s="512" t="str">
        <f>Enter!H82</f>
        <v>NIL</v>
      </c>
      <c r="T52" s="513"/>
      <c r="U52" s="65"/>
      <c r="V52" s="65"/>
      <c r="W52" s="65"/>
      <c r="X52" s="65"/>
      <c r="Y52" s="65"/>
      <c r="Z52" s="95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63"/>
      <c r="AS52" s="63"/>
      <c r="AT52" s="63" t="s">
        <v>156</v>
      </c>
      <c r="AU52" s="63"/>
      <c r="AV52" s="63"/>
      <c r="AW52" s="110" t="s">
        <v>120</v>
      </c>
      <c r="AX52" s="103" t="e">
        <f>IF(#REF!&gt;1000000,112500+(#REF!-1000000)*30%,IF(#REF!&gt;500000,12500+(#REF!-500000)*20%,IF(#REF!&gt;250000,(#REF!-250000)*5%,IF(#REF!&lt;250001,0))))</f>
        <v>#REF!</v>
      </c>
      <c r="AY52" s="63"/>
      <c r="AZ52" s="64"/>
      <c r="BA52" s="64"/>
      <c r="BB52" s="65"/>
      <c r="BC52" s="65"/>
      <c r="BD52" s="65"/>
      <c r="BE52" s="65"/>
      <c r="BF52" s="65"/>
      <c r="BG52" s="65"/>
      <c r="BH52" s="65"/>
      <c r="IY52" s="58"/>
    </row>
    <row r="53" spans="1:259" ht="20.100000000000001" customHeight="1">
      <c r="A53" s="505" t="s">
        <v>196</v>
      </c>
      <c r="B53" s="498"/>
      <c r="C53" s="498"/>
      <c r="D53" s="498"/>
      <c r="E53" s="498"/>
      <c r="F53" s="498"/>
      <c r="G53" s="498"/>
      <c r="H53" s="498"/>
      <c r="I53" s="498"/>
      <c r="J53" s="498"/>
      <c r="K53" s="498"/>
      <c r="L53" s="498"/>
      <c r="M53" s="498"/>
      <c r="N53" s="499"/>
      <c r="O53" s="155"/>
      <c r="P53" s="167"/>
      <c r="Q53" s="152"/>
      <c r="R53" s="139" t="s">
        <v>39</v>
      </c>
      <c r="S53" s="496">
        <f>Enter!H83</f>
        <v>20000</v>
      </c>
      <c r="T53" s="497"/>
      <c r="U53" s="65"/>
      <c r="V53" s="65"/>
      <c r="W53" s="65"/>
      <c r="X53" s="65"/>
      <c r="Y53" s="65"/>
      <c r="Z53" s="9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63"/>
      <c r="AS53" s="63">
        <v>13</v>
      </c>
      <c r="AT53" s="63" t="s">
        <v>158</v>
      </c>
      <c r="AU53" s="63"/>
      <c r="AV53" s="63"/>
      <c r="AW53" s="103" t="s">
        <v>120</v>
      </c>
      <c r="AX53" s="85" t="e">
        <f>AX52</f>
        <v>#REF!</v>
      </c>
      <c r="AY53" s="63"/>
      <c r="AZ53" s="64"/>
      <c r="BA53" s="64"/>
      <c r="BB53" s="65"/>
      <c r="BC53" s="65"/>
      <c r="BD53" s="65"/>
      <c r="BE53" s="65"/>
      <c r="BF53" s="65"/>
      <c r="BG53" s="65"/>
      <c r="BH53" s="65"/>
      <c r="IY53" s="58"/>
    </row>
    <row r="54" spans="1:259" ht="20.100000000000001" customHeight="1">
      <c r="A54" s="505" t="s">
        <v>197</v>
      </c>
      <c r="B54" s="498"/>
      <c r="C54" s="498"/>
      <c r="D54" s="498"/>
      <c r="E54" s="498"/>
      <c r="F54" s="498"/>
      <c r="G54" s="498"/>
      <c r="H54" s="498"/>
      <c r="I54" s="498"/>
      <c r="J54" s="498"/>
      <c r="K54" s="498"/>
      <c r="L54" s="498"/>
      <c r="M54" s="498"/>
      <c r="N54" s="499"/>
      <c r="O54" s="155"/>
      <c r="P54" s="167"/>
      <c r="Q54" s="152"/>
      <c r="R54" s="139" t="s">
        <v>39</v>
      </c>
      <c r="S54" s="496">
        <f>Enter!H84</f>
        <v>26941</v>
      </c>
      <c r="T54" s="497"/>
      <c r="U54" s="65"/>
      <c r="V54" s="65"/>
      <c r="W54" s="65"/>
      <c r="X54" s="65"/>
      <c r="Y54" s="65"/>
      <c r="Z54" s="9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63"/>
      <c r="AS54" s="63"/>
      <c r="AT54" s="63"/>
      <c r="AU54" s="63"/>
      <c r="AV54" s="63"/>
      <c r="AW54" s="103"/>
      <c r="AX54" s="85"/>
      <c r="AY54" s="63"/>
      <c r="AZ54" s="64"/>
      <c r="BA54" s="64"/>
      <c r="BB54" s="65"/>
      <c r="BC54" s="65"/>
      <c r="BD54" s="65"/>
      <c r="BE54" s="65"/>
      <c r="BF54" s="65"/>
      <c r="BG54" s="65"/>
      <c r="BH54" s="65"/>
      <c r="IY54" s="58"/>
    </row>
    <row r="55" spans="1:259" ht="20.100000000000001" customHeight="1">
      <c r="A55" s="505" t="s">
        <v>198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9"/>
      <c r="O55" s="155"/>
      <c r="P55" s="167"/>
      <c r="Q55" s="152"/>
      <c r="R55" s="139" t="s">
        <v>39</v>
      </c>
      <c r="S55" s="496">
        <f>Enter!H85</f>
        <v>0</v>
      </c>
      <c r="T55" s="497"/>
      <c r="U55" s="65"/>
      <c r="V55" s="65"/>
      <c r="W55" s="65"/>
      <c r="X55" s="65"/>
      <c r="Y55" s="65"/>
      <c r="Z55" s="65"/>
      <c r="AA55" s="116"/>
      <c r="AB55" s="116"/>
      <c r="AC55" s="116"/>
      <c r="AD55" s="116"/>
      <c r="AE55" s="116"/>
      <c r="AF55" s="116"/>
      <c r="AG55" s="116"/>
      <c r="AH55" s="117"/>
      <c r="AI55" s="116"/>
      <c r="AJ55" s="116"/>
      <c r="AK55" s="116"/>
      <c r="AL55" s="116"/>
      <c r="AM55" s="116"/>
      <c r="AN55" s="116"/>
      <c r="AO55" s="116"/>
      <c r="AP55" s="116"/>
      <c r="AQ55" s="116"/>
      <c r="AR55" s="63"/>
      <c r="AS55" s="63"/>
      <c r="AT55" s="63"/>
      <c r="AU55" s="63"/>
      <c r="AV55" s="63"/>
      <c r="AW55" s="103"/>
      <c r="AX55" s="85"/>
      <c r="AY55" s="63"/>
      <c r="AZ55" s="64"/>
      <c r="BA55" s="64"/>
      <c r="BB55" s="65"/>
      <c r="BC55" s="65"/>
      <c r="BD55" s="65"/>
      <c r="BE55" s="65"/>
      <c r="BF55" s="65"/>
      <c r="BG55" s="65"/>
      <c r="BH55" s="65"/>
      <c r="IY55" s="58"/>
    </row>
    <row r="56" spans="1:259" ht="20.100000000000001" customHeight="1">
      <c r="A56" s="505" t="s">
        <v>199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499"/>
      <c r="O56" s="155"/>
      <c r="P56" s="167"/>
      <c r="Q56" s="152"/>
      <c r="R56" s="139" t="s">
        <v>39</v>
      </c>
      <c r="S56" s="496">
        <f>Enter!H86</f>
        <v>0</v>
      </c>
      <c r="T56" s="497"/>
      <c r="U56" s="65"/>
      <c r="V56" s="65"/>
      <c r="W56" s="65"/>
      <c r="X56" s="65"/>
      <c r="Y56" s="65"/>
      <c r="Z56" s="65"/>
      <c r="AA56" s="96"/>
      <c r="AB56" s="96"/>
      <c r="AC56" s="96"/>
      <c r="AD56" s="96"/>
      <c r="AE56" s="96"/>
      <c r="AF56" s="96"/>
      <c r="AG56" s="96"/>
      <c r="AH56" s="95"/>
      <c r="AI56" s="96"/>
      <c r="AJ56" s="96"/>
      <c r="AK56" s="96"/>
      <c r="AL56" s="96"/>
      <c r="AM56" s="96"/>
      <c r="AN56" s="96"/>
      <c r="AO56" s="96"/>
      <c r="AP56" s="96"/>
      <c r="AQ56" s="140"/>
      <c r="AR56" s="63"/>
      <c r="AS56" s="63">
        <v>15</v>
      </c>
      <c r="AT56" s="63" t="s">
        <v>162</v>
      </c>
      <c r="AU56" s="63"/>
      <c r="AV56" s="63"/>
      <c r="AW56" s="103" t="e">
        <f>AX52*3%</f>
        <v>#REF!</v>
      </c>
      <c r="AX56" s="103" t="e">
        <f>ROUND(AW56,0)</f>
        <v>#REF!</v>
      </c>
      <c r="AY56" s="63"/>
      <c r="AZ56" s="64"/>
      <c r="BA56" s="64"/>
      <c r="BB56" s="65"/>
      <c r="BC56" s="65"/>
      <c r="BD56" s="65"/>
      <c r="BE56" s="65"/>
      <c r="BF56" s="65"/>
      <c r="BG56" s="65"/>
      <c r="BH56" s="65"/>
      <c r="IY56" s="58"/>
    </row>
    <row r="57" spans="1:259" ht="20.100000000000001" customHeight="1">
      <c r="A57" s="505" t="s">
        <v>204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499"/>
      <c r="O57" s="155"/>
      <c r="P57" s="167"/>
      <c r="Q57" s="152"/>
      <c r="R57" s="139" t="s">
        <v>39</v>
      </c>
      <c r="S57" s="496">
        <f>Enter!H87</f>
        <v>0</v>
      </c>
      <c r="T57" s="497"/>
      <c r="U57" s="65"/>
      <c r="V57" s="65"/>
      <c r="W57" s="65"/>
      <c r="X57" s="65"/>
      <c r="Y57" s="65"/>
      <c r="Z57" s="121" t="e">
        <f>SUM(#REF!)</f>
        <v>#REF!</v>
      </c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6"/>
      <c r="AN57" s="95"/>
      <c r="AO57" s="96"/>
      <c r="AP57" s="96"/>
      <c r="AQ57" s="140"/>
      <c r="AR57" s="63"/>
      <c r="AS57" s="63">
        <v>14</v>
      </c>
      <c r="AT57" s="63" t="s">
        <v>166</v>
      </c>
      <c r="AU57" s="63"/>
      <c r="AV57" s="63"/>
      <c r="AW57" s="63"/>
      <c r="AX57" s="103" t="s">
        <v>167</v>
      </c>
      <c r="AY57" s="63"/>
      <c r="AZ57" s="64"/>
      <c r="BA57" s="64"/>
      <c r="BB57" s="65"/>
      <c r="BC57" s="65"/>
      <c r="BD57" s="65"/>
      <c r="BE57" s="65"/>
      <c r="BF57" s="65"/>
      <c r="BG57" s="65"/>
      <c r="BH57" s="65"/>
      <c r="IY57" s="58"/>
    </row>
    <row r="58" spans="1:259" ht="20.100000000000001" customHeight="1">
      <c r="A58" s="487"/>
      <c r="B58" s="488"/>
      <c r="C58" s="488"/>
      <c r="D58" s="488"/>
      <c r="E58" s="488"/>
      <c r="F58" s="488"/>
      <c r="G58" s="488"/>
      <c r="H58" s="488"/>
      <c r="I58" s="488"/>
      <c r="J58" s="488"/>
      <c r="K58" s="488"/>
      <c r="L58" s="488"/>
      <c r="M58" s="488"/>
      <c r="N58" s="488"/>
      <c r="O58" s="153"/>
      <c r="P58" s="168"/>
      <c r="Q58" s="154"/>
      <c r="R58" s="139"/>
      <c r="S58" s="496"/>
      <c r="T58" s="497"/>
      <c r="U58" s="65"/>
      <c r="V58" s="65"/>
      <c r="W58" s="65"/>
      <c r="X58" s="65"/>
      <c r="Y58" s="65"/>
      <c r="Z58" s="121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6"/>
      <c r="AN58" s="95"/>
      <c r="AO58" s="96"/>
      <c r="AP58" s="96"/>
      <c r="AQ58" s="140"/>
      <c r="AR58" s="63"/>
      <c r="AS58" s="63"/>
      <c r="AT58" s="63"/>
      <c r="AU58" s="63"/>
      <c r="AV58" s="63"/>
      <c r="AW58" s="63"/>
      <c r="AX58" s="103"/>
      <c r="AY58" s="63"/>
      <c r="AZ58" s="64"/>
      <c r="BA58" s="64"/>
      <c r="BB58" s="65"/>
      <c r="BC58" s="65"/>
      <c r="BD58" s="65"/>
      <c r="BE58" s="65"/>
      <c r="BF58" s="65"/>
      <c r="BG58" s="65"/>
      <c r="BH58" s="65"/>
      <c r="IY58" s="58"/>
    </row>
    <row r="59" spans="1:259" ht="20.100000000000001" customHeight="1">
      <c r="A59" s="498" t="s">
        <v>86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N59" s="499"/>
      <c r="O59" s="155"/>
      <c r="P59" s="167"/>
      <c r="Q59" s="152"/>
      <c r="R59" s="139" t="s">
        <v>39</v>
      </c>
      <c r="S59" s="496">
        <f>Enter!H90</f>
        <v>46941</v>
      </c>
      <c r="T59" s="497"/>
      <c r="U59" s="65"/>
      <c r="V59" s="65"/>
      <c r="W59" s="65"/>
      <c r="X59" s="65"/>
      <c r="Y59" s="65"/>
      <c r="Z59" s="65"/>
      <c r="AA59" s="96"/>
      <c r="AB59" s="96"/>
      <c r="AC59" s="96"/>
      <c r="AD59" s="96"/>
      <c r="AE59" s="96"/>
      <c r="AF59" s="96"/>
      <c r="AG59" s="96"/>
      <c r="AH59" s="95"/>
      <c r="AI59" s="96"/>
      <c r="AJ59" s="96"/>
      <c r="AK59" s="94"/>
      <c r="AL59" s="96"/>
      <c r="AN59" s="96"/>
      <c r="AO59" s="96"/>
      <c r="AP59" s="96"/>
      <c r="AQ59" s="140"/>
      <c r="AR59" s="63"/>
      <c r="AS59" s="63">
        <v>17</v>
      </c>
      <c r="AT59" s="63" t="s">
        <v>173</v>
      </c>
      <c r="AU59" s="63"/>
      <c r="AV59" s="85">
        <f>AZ59</f>
        <v>0</v>
      </c>
      <c r="AW59" s="120" t="s">
        <v>174</v>
      </c>
      <c r="AX59" s="110" t="str">
        <f>IF(AV59=0,"NIL",IF(AV59&gt;0,AV59))</f>
        <v>NIL</v>
      </c>
      <c r="AY59" s="63"/>
      <c r="AZ59" s="64"/>
      <c r="BA59" s="64"/>
      <c r="BB59" s="65"/>
      <c r="BC59" s="65"/>
      <c r="BD59" s="65"/>
      <c r="BE59" s="65"/>
      <c r="BF59" s="65"/>
      <c r="BG59" s="65"/>
      <c r="BH59" s="65"/>
      <c r="IY59" s="58"/>
    </row>
    <row r="60" spans="1:259" ht="20.100000000000001" customHeight="1">
      <c r="A60" s="506" t="s">
        <v>205</v>
      </c>
      <c r="B60" s="507"/>
      <c r="C60" s="507"/>
      <c r="D60" s="507"/>
      <c r="E60" s="507"/>
      <c r="F60" s="507"/>
      <c r="G60" s="507"/>
      <c r="H60" s="507"/>
      <c r="I60" s="507"/>
      <c r="J60" s="507"/>
      <c r="K60" s="507"/>
      <c r="L60" s="507"/>
      <c r="M60" s="507"/>
      <c r="N60" s="507"/>
      <c r="O60" s="155"/>
      <c r="P60" s="167"/>
      <c r="Q60" s="152"/>
      <c r="R60" s="139" t="s">
        <v>39</v>
      </c>
      <c r="S60" s="503">
        <f>Enter!H91</f>
        <v>0</v>
      </c>
      <c r="T60" s="504"/>
      <c r="U60" s="65"/>
      <c r="V60" s="65"/>
      <c r="W60" s="65"/>
      <c r="X60" s="65"/>
      <c r="Y60" s="65"/>
      <c r="Z60" s="65"/>
      <c r="AA60" s="96"/>
      <c r="AB60" s="96"/>
      <c r="AC60" s="96"/>
      <c r="AD60" s="96"/>
      <c r="AE60" s="96"/>
      <c r="AF60" s="96"/>
      <c r="AG60" s="96"/>
      <c r="AH60" s="95"/>
      <c r="AI60" s="96"/>
      <c r="AJ60" s="96"/>
      <c r="AK60" s="94"/>
      <c r="AL60" s="96"/>
      <c r="AN60" s="96"/>
      <c r="AO60" s="96"/>
      <c r="AP60" s="96"/>
      <c r="AQ60" s="140"/>
      <c r="AR60" s="63"/>
      <c r="AS60" s="63"/>
      <c r="AT60" s="63"/>
      <c r="AU60" s="63"/>
      <c r="AV60" s="85"/>
      <c r="AW60" s="120"/>
      <c r="AX60" s="110"/>
      <c r="AY60" s="63"/>
      <c r="AZ60" s="64"/>
      <c r="BA60" s="64"/>
      <c r="BB60" s="65"/>
      <c r="BC60" s="65"/>
      <c r="BD60" s="65"/>
      <c r="BE60" s="65"/>
      <c r="BF60" s="65"/>
      <c r="BG60" s="65"/>
      <c r="BH60" s="65"/>
      <c r="IY60" s="58"/>
    </row>
    <row r="61" spans="1:259" ht="20.100000000000001" customHeight="1">
      <c r="A61" s="499" t="s">
        <v>86</v>
      </c>
      <c r="B61" s="507"/>
      <c r="C61" s="507"/>
      <c r="D61" s="507"/>
      <c r="E61" s="507"/>
      <c r="F61" s="507"/>
      <c r="G61" s="507"/>
      <c r="H61" s="507"/>
      <c r="I61" s="507"/>
      <c r="J61" s="507"/>
      <c r="K61" s="507"/>
      <c r="L61" s="507"/>
      <c r="M61" s="507"/>
      <c r="N61" s="507"/>
      <c r="O61" s="155"/>
      <c r="P61" s="167"/>
      <c r="Q61" s="152"/>
      <c r="R61" s="139" t="s">
        <v>39</v>
      </c>
      <c r="S61" s="503">
        <f>S59-S60</f>
        <v>46941</v>
      </c>
      <c r="T61" s="504"/>
      <c r="U61" s="65"/>
      <c r="V61" s="65"/>
      <c r="W61" s="65"/>
      <c r="X61" s="65"/>
      <c r="Y61" s="65"/>
      <c r="Z61" s="65"/>
      <c r="AA61" s="96"/>
      <c r="AB61" s="96"/>
      <c r="AC61" s="96"/>
      <c r="AD61" s="96"/>
      <c r="AE61" s="96"/>
      <c r="AF61" s="96"/>
      <c r="AG61" s="96"/>
      <c r="AH61" s="95"/>
      <c r="AI61" s="96"/>
      <c r="AJ61" s="96"/>
      <c r="AK61" s="94"/>
      <c r="AL61" s="96"/>
      <c r="AN61" s="96"/>
      <c r="AO61" s="96"/>
      <c r="AP61" s="96"/>
      <c r="AQ61" s="140"/>
      <c r="AR61" s="63"/>
      <c r="AS61" s="63"/>
      <c r="AT61" s="63"/>
      <c r="AU61" s="63"/>
      <c r="AV61" s="85"/>
      <c r="AW61" s="120"/>
      <c r="AX61" s="110"/>
      <c r="AY61" s="63"/>
      <c r="AZ61" s="64"/>
      <c r="BA61" s="64"/>
      <c r="BB61" s="65"/>
      <c r="BC61" s="65"/>
      <c r="BD61" s="65"/>
      <c r="BE61" s="65"/>
      <c r="BF61" s="65"/>
      <c r="BG61" s="65"/>
      <c r="BH61" s="65"/>
      <c r="IY61" s="58"/>
    </row>
    <row r="62" spans="1:259" ht="20.100000000000001" customHeight="1">
      <c r="A62" s="498" t="s">
        <v>80</v>
      </c>
      <c r="B62" s="498"/>
      <c r="C62" s="498"/>
      <c r="D62" s="498"/>
      <c r="E62" s="498"/>
      <c r="F62" s="498"/>
      <c r="G62" s="498"/>
      <c r="H62" s="498"/>
      <c r="I62" s="498"/>
      <c r="J62" s="498"/>
      <c r="K62" s="498"/>
      <c r="L62" s="498"/>
      <c r="M62" s="498"/>
      <c r="N62" s="499"/>
      <c r="O62" s="155"/>
      <c r="P62" s="167"/>
      <c r="Q62" s="152"/>
      <c r="R62" s="139" t="s">
        <v>39</v>
      </c>
      <c r="S62" s="496">
        <f>Enter!H93</f>
        <v>1878</v>
      </c>
      <c r="T62" s="497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1"/>
      <c r="AI62" s="65"/>
      <c r="AJ62" s="65"/>
      <c r="AK62" s="65"/>
      <c r="AL62" s="65"/>
      <c r="AM62" s="65"/>
      <c r="AN62" s="65"/>
      <c r="AO62" s="65"/>
      <c r="AP62" s="65"/>
      <c r="AQ62" s="63"/>
      <c r="AR62" s="63"/>
      <c r="AS62" s="63"/>
      <c r="AT62" s="63"/>
      <c r="AU62" s="63"/>
      <c r="AV62" s="63"/>
      <c r="AW62" s="63"/>
      <c r="AX62" s="63"/>
      <c r="AY62" s="63"/>
      <c r="AZ62" s="64"/>
      <c r="BA62" s="64"/>
      <c r="BB62" s="65"/>
      <c r="BC62" s="65"/>
      <c r="BD62" s="65"/>
      <c r="BE62" s="65"/>
      <c r="BF62" s="65"/>
      <c r="BG62" s="65"/>
      <c r="BH62" s="65"/>
      <c r="IY62" s="58"/>
    </row>
    <row r="63" spans="1:259" ht="20.100000000000001" customHeight="1">
      <c r="A63" s="498" t="s">
        <v>81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  <c r="M63" s="498"/>
      <c r="N63" s="499"/>
      <c r="O63" s="155"/>
      <c r="P63" s="167"/>
      <c r="Q63" s="152"/>
      <c r="R63" s="139" t="s">
        <v>39</v>
      </c>
      <c r="S63" s="496">
        <f>Enter!H94</f>
        <v>48819</v>
      </c>
      <c r="T63" s="497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1"/>
      <c r="AI63" s="65"/>
      <c r="AJ63" s="65"/>
      <c r="AK63" s="65"/>
      <c r="AL63" s="65"/>
      <c r="AM63" s="65"/>
      <c r="AN63" s="65"/>
      <c r="AO63" s="65"/>
      <c r="AP63" s="65"/>
      <c r="AQ63" s="63"/>
      <c r="AR63" s="63"/>
      <c r="AS63" s="63"/>
      <c r="AT63" s="63"/>
      <c r="AU63" s="63"/>
      <c r="AV63" s="63"/>
      <c r="AW63" s="63"/>
      <c r="AX63" s="63"/>
      <c r="AY63" s="63"/>
      <c r="AZ63" s="64"/>
      <c r="BA63" s="64"/>
      <c r="BB63" s="65"/>
      <c r="BC63" s="65"/>
      <c r="BD63" s="65"/>
      <c r="BE63" s="65"/>
      <c r="BF63" s="65"/>
      <c r="BG63" s="65"/>
      <c r="BH63" s="65"/>
      <c r="IY63" s="58"/>
    </row>
    <row r="64" spans="1:259" ht="20.100000000000001" customHeight="1">
      <c r="A64" s="498" t="s">
        <v>82</v>
      </c>
      <c r="B64" s="498"/>
      <c r="C64" s="498"/>
      <c r="D64" s="498"/>
      <c r="E64" s="498"/>
      <c r="F64" s="498"/>
      <c r="G64" s="498"/>
      <c r="H64" s="498"/>
      <c r="I64" s="498"/>
      <c r="J64" s="498"/>
      <c r="K64" s="498"/>
      <c r="L64" s="498"/>
      <c r="M64" s="498"/>
      <c r="N64" s="499"/>
      <c r="O64" s="155"/>
      <c r="P64" s="167"/>
      <c r="Q64" s="152"/>
      <c r="R64" s="139" t="s">
        <v>39</v>
      </c>
      <c r="S64" s="496">
        <f>Enter!H95</f>
        <v>45871</v>
      </c>
      <c r="T64" s="497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/>
      <c r="AI64" s="65"/>
      <c r="AJ64" s="65"/>
      <c r="AK64" s="65"/>
      <c r="AL64" s="65"/>
      <c r="AM64" s="65"/>
      <c r="AN64" s="65"/>
      <c r="AO64" s="65"/>
      <c r="AP64" s="65"/>
      <c r="AQ64" s="63"/>
      <c r="AR64" s="63"/>
      <c r="AS64" s="63"/>
      <c r="AT64" s="63"/>
      <c r="AU64" s="63"/>
      <c r="AV64" s="63"/>
      <c r="AW64" s="63"/>
      <c r="AX64" s="63"/>
      <c r="AY64" s="63"/>
      <c r="AZ64" s="64"/>
      <c r="BA64" s="64"/>
      <c r="BB64" s="65"/>
      <c r="BC64" s="65"/>
      <c r="BD64" s="65"/>
      <c r="BE64" s="65"/>
      <c r="BF64" s="65"/>
      <c r="BG64" s="65"/>
      <c r="BH64" s="65"/>
      <c r="IY64" s="58"/>
    </row>
    <row r="65" spans="1:259" ht="20.100000000000001" customHeight="1">
      <c r="A65" s="498" t="s">
        <v>83</v>
      </c>
      <c r="B65" s="498"/>
      <c r="C65" s="498"/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9"/>
      <c r="O65" s="155"/>
      <c r="P65" s="167"/>
      <c r="Q65" s="152"/>
      <c r="R65" s="139" t="s">
        <v>39</v>
      </c>
      <c r="S65" s="496">
        <f>Enter!H96</f>
        <v>0</v>
      </c>
      <c r="T65" s="497"/>
      <c r="U65" s="65"/>
      <c r="V65" s="65"/>
      <c r="W65" s="65"/>
      <c r="X65" s="65"/>
      <c r="Y65" s="65"/>
      <c r="Z65" s="65"/>
      <c r="AA65" s="121"/>
      <c r="AB65" s="121"/>
      <c r="AC65" s="121"/>
      <c r="AD65" s="121"/>
      <c r="AE65" s="121"/>
      <c r="AF65" s="121"/>
      <c r="AG65" s="121"/>
      <c r="AH65" s="122" t="e">
        <f>SUM(#REF!)</f>
        <v>#REF!</v>
      </c>
      <c r="AI65" s="65"/>
      <c r="AJ65" s="65"/>
      <c r="AK65" s="65"/>
      <c r="AL65" s="65"/>
      <c r="AM65" s="65"/>
      <c r="AN65" s="65"/>
      <c r="AO65" s="65"/>
      <c r="AP65" s="65"/>
      <c r="AQ65" s="64"/>
      <c r="AR65" s="63"/>
      <c r="AS65" s="63"/>
      <c r="AT65" s="63"/>
      <c r="AU65" s="63"/>
      <c r="AV65" s="63"/>
      <c r="AW65" s="63"/>
      <c r="AX65" s="63">
        <v>5000</v>
      </c>
      <c r="AY65" s="63"/>
      <c r="AZ65" s="64"/>
      <c r="BA65" s="64"/>
      <c r="BB65" s="65"/>
      <c r="BC65" s="65"/>
      <c r="BD65" s="65"/>
      <c r="BE65" s="65"/>
      <c r="BF65" s="65"/>
      <c r="BG65" s="65"/>
      <c r="BH65" s="65"/>
      <c r="IY65" s="58"/>
    </row>
    <row r="66" spans="1:259" ht="20.100000000000001" customHeight="1">
      <c r="A66" s="498" t="s">
        <v>84</v>
      </c>
      <c r="B66" s="498"/>
      <c r="C66" s="498"/>
      <c r="D66" s="498"/>
      <c r="E66" s="498"/>
      <c r="F66" s="498"/>
      <c r="G66" s="498"/>
      <c r="H66" s="498"/>
      <c r="I66" s="498"/>
      <c r="J66" s="498"/>
      <c r="K66" s="498"/>
      <c r="L66" s="498"/>
      <c r="M66" s="498"/>
      <c r="N66" s="499"/>
      <c r="O66" s="155"/>
      <c r="P66" s="167"/>
      <c r="Q66" s="152"/>
      <c r="R66" s="139" t="s">
        <v>39</v>
      </c>
      <c r="S66" s="496">
        <f>Enter!H97</f>
        <v>0</v>
      </c>
      <c r="T66" s="497"/>
      <c r="U66" s="65"/>
      <c r="V66" s="65"/>
      <c r="W66" s="65"/>
      <c r="X66" s="65"/>
      <c r="Y66" s="65"/>
      <c r="Z66" s="65"/>
      <c r="AA66" s="121"/>
      <c r="AB66" s="121"/>
      <c r="AC66" s="121"/>
      <c r="AD66" s="121"/>
      <c r="AE66" s="121"/>
      <c r="AF66" s="121"/>
      <c r="AG66" s="121"/>
      <c r="AH66" s="122"/>
      <c r="AI66" s="65"/>
      <c r="AJ66" s="65"/>
      <c r="AK66" s="65"/>
      <c r="AL66" s="65"/>
      <c r="AM66" s="65"/>
      <c r="AN66" s="65"/>
      <c r="AO66" s="65"/>
      <c r="AP66" s="65"/>
      <c r="AQ66" s="64"/>
      <c r="AR66" s="63"/>
      <c r="AS66" s="63"/>
      <c r="AT66" s="63"/>
      <c r="AU66" s="63"/>
      <c r="AV66" s="63"/>
      <c r="AW66" s="63"/>
      <c r="AX66" s="63">
        <v>0</v>
      </c>
      <c r="AY66" s="63"/>
      <c r="AZ66" s="64"/>
      <c r="BA66" s="64"/>
      <c r="BB66" s="65"/>
      <c r="BC66" s="65"/>
      <c r="BD66" s="65"/>
      <c r="BE66" s="65"/>
      <c r="BF66" s="65"/>
      <c r="BG66" s="65"/>
      <c r="BH66" s="65"/>
      <c r="IY66" s="58"/>
    </row>
    <row r="67" spans="1:259" ht="20.100000000000001" customHeight="1">
      <c r="A67" s="498" t="s">
        <v>85</v>
      </c>
      <c r="B67" s="498"/>
      <c r="C67" s="498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9"/>
      <c r="O67" s="155"/>
      <c r="P67" s="167"/>
      <c r="Q67" s="152"/>
      <c r="R67" s="139" t="s">
        <v>39</v>
      </c>
      <c r="S67" s="496">
        <f>Enter!H98</f>
        <v>2948</v>
      </c>
      <c r="T67" s="497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1"/>
      <c r="AI67" s="65"/>
      <c r="AJ67" s="65"/>
      <c r="AK67" s="65"/>
      <c r="AL67" s="65"/>
      <c r="AM67" s="65"/>
      <c r="AN67" s="65"/>
      <c r="AO67" s="65"/>
      <c r="AP67" s="65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5"/>
      <c r="BC67" s="65"/>
      <c r="BD67" s="65"/>
      <c r="BE67" s="65"/>
      <c r="BF67" s="65"/>
      <c r="BG67" s="65"/>
      <c r="BH67" s="65"/>
      <c r="IY67" s="58"/>
    </row>
    <row r="68" spans="1:259" ht="45" customHeight="1">
      <c r="A68" s="65"/>
      <c r="B68" s="252" t="s">
        <v>169</v>
      </c>
      <c r="C68" s="199"/>
      <c r="D68" s="199"/>
      <c r="E68" s="199"/>
      <c r="F68" s="199"/>
      <c r="G68" s="19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1"/>
      <c r="AH68" s="65"/>
      <c r="AI68" s="65"/>
      <c r="AJ68" s="65"/>
      <c r="AK68" s="65"/>
      <c r="AL68" s="65"/>
      <c r="AM68" s="65"/>
      <c r="AN68" s="65"/>
      <c r="AO68" s="65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5"/>
      <c r="BB68" s="65"/>
      <c r="BC68" s="65"/>
      <c r="BD68" s="65"/>
      <c r="BE68" s="65"/>
      <c r="BF68" s="65"/>
      <c r="BG68" s="65"/>
    </row>
    <row r="69" spans="1:259" ht="15" customHeight="1">
      <c r="A69" s="65"/>
      <c r="B69" s="252" t="s">
        <v>172</v>
      </c>
      <c r="C69" s="199"/>
      <c r="D69" s="199"/>
      <c r="E69" s="199"/>
      <c r="F69" s="199"/>
      <c r="G69" s="19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Y69" s="65"/>
      <c r="Z69" s="65"/>
      <c r="AA69" s="65"/>
      <c r="AB69" s="65"/>
      <c r="AC69" s="65"/>
      <c r="AD69" s="65"/>
      <c r="AE69" s="65"/>
      <c r="AF69" s="65"/>
      <c r="AG69" s="61"/>
      <c r="AH69" s="65"/>
      <c r="AI69" s="65"/>
      <c r="AJ69" s="65"/>
      <c r="AK69" s="65"/>
      <c r="AL69" s="65"/>
      <c r="AM69" s="65"/>
      <c r="AN69" s="65"/>
      <c r="AO69" s="65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5"/>
      <c r="BB69" s="65"/>
      <c r="BC69" s="65"/>
      <c r="BD69" s="65"/>
      <c r="BE69" s="65"/>
      <c r="BF69" s="65"/>
      <c r="BG69" s="65"/>
    </row>
    <row r="70" spans="1:259" ht="15" customHeight="1">
      <c r="A70" s="65"/>
      <c r="B70" s="252" t="s">
        <v>176</v>
      </c>
      <c r="C70" s="199"/>
      <c r="D70" s="199"/>
      <c r="E70" s="199"/>
      <c r="F70" s="199"/>
      <c r="G70" s="199"/>
      <c r="H70" s="65"/>
      <c r="I70" s="65"/>
      <c r="J70" s="65"/>
      <c r="K70" s="65"/>
      <c r="L70" s="65"/>
      <c r="M70" s="65"/>
      <c r="N70" s="65"/>
      <c r="O70" s="65"/>
      <c r="P70" s="65"/>
      <c r="Q70" s="141" t="s">
        <v>125</v>
      </c>
      <c r="R70" s="65"/>
      <c r="S70" s="65"/>
      <c r="T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5"/>
      <c r="BB70" s="65"/>
      <c r="BC70" s="65"/>
      <c r="BD70" s="65"/>
      <c r="BE70" s="65"/>
      <c r="BF70" s="65"/>
      <c r="BG70" s="65"/>
    </row>
    <row r="71" spans="1:259" ht="15" customHeight="1">
      <c r="A71" s="65"/>
      <c r="B71" s="252" t="s">
        <v>178</v>
      </c>
      <c r="C71" s="199"/>
      <c r="D71" s="199"/>
      <c r="E71" s="199"/>
      <c r="F71" s="199"/>
      <c r="G71" s="19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5"/>
      <c r="BB71" s="65"/>
      <c r="BC71" s="65"/>
      <c r="BD71" s="65"/>
      <c r="BE71" s="65"/>
      <c r="BF71" s="65"/>
      <c r="BG71" s="65"/>
    </row>
    <row r="72" spans="1:259" ht="1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5"/>
      <c r="BB72" s="65"/>
      <c r="BC72" s="65"/>
      <c r="BD72" s="65"/>
      <c r="BE72" s="65"/>
      <c r="BF72" s="65"/>
      <c r="BG72" s="65"/>
    </row>
    <row r="73" spans="1:259" ht="1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5"/>
      <c r="BB73" s="65"/>
      <c r="BC73" s="65"/>
      <c r="BD73" s="65"/>
      <c r="BE73" s="65"/>
      <c r="BF73" s="65"/>
      <c r="BG73" s="65"/>
    </row>
    <row r="74" spans="1:259" ht="1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5"/>
      <c r="BB74" s="65"/>
      <c r="BC74" s="65"/>
      <c r="BD74" s="65"/>
      <c r="BE74" s="65"/>
      <c r="BF74" s="65"/>
      <c r="BG74" s="65"/>
    </row>
    <row r="75" spans="1:259" ht="1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5"/>
      <c r="BB75" s="65"/>
      <c r="BC75" s="65"/>
      <c r="BD75" s="65"/>
      <c r="BE75" s="65"/>
      <c r="BF75" s="65"/>
      <c r="BG75" s="65"/>
    </row>
    <row r="76" spans="1:259" ht="1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259" ht="1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259" ht="1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</row>
    <row r="79" spans="1:259" ht="1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</row>
    <row r="80" spans="1:259" ht="1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 ht="1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ht="1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ht="1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 ht="1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59" ht="1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59" ht="15" customHeight="1">
      <c r="A86" s="65"/>
      <c r="B86" s="65"/>
      <c r="C86" s="65"/>
      <c r="D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 ht="15" customHeight="1">
      <c r="A87" s="65"/>
      <c r="B87" s="65"/>
      <c r="C87" s="65"/>
      <c r="D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59" ht="15" customHeight="1">
      <c r="A88" s="65"/>
      <c r="B88" s="65"/>
      <c r="C88" s="65"/>
      <c r="D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59" ht="15" customHeight="1">
      <c r="A89" s="65"/>
      <c r="B89" s="65"/>
      <c r="C89" s="65"/>
      <c r="D89" s="65"/>
      <c r="AG89" s="58"/>
      <c r="AN89" s="58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 spans="1:59" ht="15" customHeight="1">
      <c r="A90" s="65"/>
      <c r="B90" s="65"/>
      <c r="C90" s="65"/>
      <c r="D90" s="65"/>
      <c r="AG90" s="58"/>
      <c r="AN90" s="58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59" ht="15" customHeight="1">
      <c r="A91" s="65"/>
      <c r="B91" s="65"/>
      <c r="C91" s="65"/>
      <c r="D91" s="65"/>
      <c r="AG91" s="58"/>
      <c r="AN91" s="58"/>
    </row>
    <row r="92" spans="1:59" ht="15" customHeight="1">
      <c r="AG92" s="58"/>
      <c r="AN92" s="58"/>
    </row>
    <row r="93" spans="1:59" ht="15" customHeight="1"/>
    <row r="94" spans="1:59" ht="15" customHeight="1"/>
    <row r="95" spans="1:59" ht="15" customHeight="1"/>
    <row r="96" spans="1:59" ht="15" customHeight="1"/>
    <row r="97" ht="15" customHeight="1"/>
  </sheetData>
  <protectedRanges>
    <protectedRange password="CC4D" sqref="AX51:AY51 AR49:AZ50 AQ51:AV51 V12:AE26 E36:M36 Z48:AD48 X7:AC7 U1:AC1 Y43:AD47 U42:AC42 T48 Z38:AG41 W27:AE28 AQ55:AQ65 AR52:AZ67 W8:AF11 Y2:AD6 F37:N37" name="Range1_1_1"/>
    <protectedRange password="CC4D" sqref="AW51" name="Range1_1_1_1"/>
  </protectedRanges>
  <mergeCells count="97">
    <mergeCell ref="A3:C3"/>
    <mergeCell ref="R4:T4"/>
    <mergeCell ref="R2:T2"/>
    <mergeCell ref="A6:I6"/>
    <mergeCell ref="C5:I5"/>
    <mergeCell ref="D4:I4"/>
    <mergeCell ref="F12:F13"/>
    <mergeCell ref="B11:M11"/>
    <mergeCell ref="V12:V13"/>
    <mergeCell ref="K12:K13"/>
    <mergeCell ref="S12:S13"/>
    <mergeCell ref="Q12:Q13"/>
    <mergeCell ref="N12:N13"/>
    <mergeCell ref="M12:M13"/>
    <mergeCell ref="L12:L13"/>
    <mergeCell ref="S67:T67"/>
    <mergeCell ref="S57:T57"/>
    <mergeCell ref="A65:N65"/>
    <mergeCell ref="A61:N61"/>
    <mergeCell ref="P12:P13"/>
    <mergeCell ref="A11:A13"/>
    <mergeCell ref="B28:E28"/>
    <mergeCell ref="B15:E15"/>
    <mergeCell ref="B35:C35"/>
    <mergeCell ref="B29:E29"/>
    <mergeCell ref="B30:E30"/>
    <mergeCell ref="B31:E31"/>
    <mergeCell ref="B32:E32"/>
    <mergeCell ref="B33:E33"/>
    <mergeCell ref="B34:E34"/>
    <mergeCell ref="B19:E19"/>
    <mergeCell ref="S53:T53"/>
    <mergeCell ref="B23:E23"/>
    <mergeCell ref="B26:E26"/>
    <mergeCell ref="A53:N53"/>
    <mergeCell ref="A52:N52"/>
    <mergeCell ref="S52:T52"/>
    <mergeCell ref="S50:T50"/>
    <mergeCell ref="S48:T48"/>
    <mergeCell ref="A42:T42"/>
    <mergeCell ref="B25:E25"/>
    <mergeCell ref="S49:T49"/>
    <mergeCell ref="R43:T43"/>
    <mergeCell ref="D45:I45"/>
    <mergeCell ref="R45:T45"/>
    <mergeCell ref="A49:O49"/>
    <mergeCell ref="B16:E16"/>
    <mergeCell ref="B18:E18"/>
    <mergeCell ref="H12:H13"/>
    <mergeCell ref="B12:E13"/>
    <mergeCell ref="B14:E14"/>
    <mergeCell ref="A55:N55"/>
    <mergeCell ref="A56:N56"/>
    <mergeCell ref="S62:T62"/>
    <mergeCell ref="S63:T63"/>
    <mergeCell ref="S58:T58"/>
    <mergeCell ref="S55:T55"/>
    <mergeCell ref="A57:N57"/>
    <mergeCell ref="S54:T54"/>
    <mergeCell ref="A67:N67"/>
    <mergeCell ref="C46:I46"/>
    <mergeCell ref="S56:T56"/>
    <mergeCell ref="B20:E20"/>
    <mergeCell ref="B27:E27"/>
    <mergeCell ref="B22:E22"/>
    <mergeCell ref="A44:C44"/>
    <mergeCell ref="A47:I47"/>
    <mergeCell ref="A63:N63"/>
    <mergeCell ref="S60:T60"/>
    <mergeCell ref="S61:T61"/>
    <mergeCell ref="A66:N66"/>
    <mergeCell ref="A54:N54"/>
    <mergeCell ref="A59:N59"/>
    <mergeCell ref="A60:N60"/>
    <mergeCell ref="S64:T64"/>
    <mergeCell ref="S65:T65"/>
    <mergeCell ref="S66:T66"/>
    <mergeCell ref="A64:N64"/>
    <mergeCell ref="A58:N58"/>
    <mergeCell ref="A62:N62"/>
    <mergeCell ref="S59:T59"/>
    <mergeCell ref="A51:T51"/>
    <mergeCell ref="A9:V9"/>
    <mergeCell ref="A10:V10"/>
    <mergeCell ref="N11:V11"/>
    <mergeCell ref="A1:V1"/>
    <mergeCell ref="T12:T13"/>
    <mergeCell ref="I12:I13"/>
    <mergeCell ref="U12:U13"/>
    <mergeCell ref="I48:K48"/>
    <mergeCell ref="O12:O13"/>
    <mergeCell ref="R12:R13"/>
    <mergeCell ref="J12:J13"/>
    <mergeCell ref="G12:G13"/>
    <mergeCell ref="B24:E24"/>
    <mergeCell ref="B21:E21"/>
    <mergeCell ref="B17:E17"/>
  </mergeCells>
  <pageMargins left="0.45" right="0.2" top="0.25" bottom="0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</vt:lpstr>
      <vt:lpstr>Enter</vt:lpstr>
      <vt:lpstr>Old method</vt:lpstr>
      <vt:lpstr>New method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ELCOT</cp:lastModifiedBy>
  <cp:lastPrinted>2024-01-02T14:29:41Z</cp:lastPrinted>
  <dcterms:created xsi:type="dcterms:W3CDTF">2021-01-09T11:00:31Z</dcterms:created>
  <dcterms:modified xsi:type="dcterms:W3CDTF">2025-01-04T17:15:21Z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53c8938a27134b858a48c01e56bae7e1</vt:lpwstr>
  </property>
</Properties>
</file>