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135" windowWidth="16605" windowHeight="7185"/>
  </bookViews>
  <sheets>
    <sheet name="MASTER" sheetId="9" r:id="rId1"/>
    <sheet name="ADJUST" sheetId="14" r:id="rId2"/>
    <sheet name="NEW P1" sheetId="11" r:id="rId3"/>
    <sheet name="NEW P2" sheetId="20" r:id="rId4"/>
    <sheet name="OLD P1" sheetId="15" r:id="rId5"/>
    <sheet name="OLD P2" sheetId="18" r:id="rId6"/>
    <sheet name="OLD P3" sheetId="16" r:id="rId7"/>
    <sheet name="OLD P4" sheetId="17" r:id="rId8"/>
  </sheets>
  <definedNames>
    <definedName name="_xlnm.Print_Area" localSheetId="1">ADJUST!$A$1:$X$42</definedName>
    <definedName name="_xlnm.Print_Area" localSheetId="0">MASTER!$A$1:$Q$65</definedName>
    <definedName name="_xlnm.Print_Area" localSheetId="2">'NEW P1'!$B$2:$I$44</definedName>
    <definedName name="_xlnm.Print_Area" localSheetId="3">'NEW P2'!$A$1:$U$27</definedName>
    <definedName name="_xlnm.Print_Area" localSheetId="4">'OLD P1'!$B$2:$I$46</definedName>
    <definedName name="_xlnm.Print_Area" localSheetId="5">'OLD P2'!$B$2:$I$46</definedName>
    <definedName name="_xlnm.Print_Area" localSheetId="6">'OLD P3'!$B$2:$H$37</definedName>
    <definedName name="_xlnm.Print_Area" localSheetId="7">'OLD P4'!$A$1:$U$27</definedName>
  </definedNames>
  <calcPr calcId="124519"/>
</workbook>
</file>

<file path=xl/calcChain.xml><?xml version="1.0" encoding="utf-8"?>
<calcChain xmlns="http://schemas.openxmlformats.org/spreadsheetml/2006/main">
  <c r="D15" i="17"/>
  <c r="X18"/>
  <c r="X17"/>
  <c r="X16"/>
  <c r="X15"/>
  <c r="X14"/>
  <c r="X13"/>
  <c r="X12"/>
  <c r="X11"/>
  <c r="X10"/>
  <c r="X9"/>
  <c r="AA8"/>
  <c r="AA9" s="1"/>
  <c r="AA10" s="1"/>
  <c r="AA11" s="1"/>
  <c r="AA12" s="1"/>
  <c r="Z8"/>
  <c r="Z9" s="1"/>
  <c r="Z10" s="1"/>
  <c r="Z11" s="1"/>
  <c r="Z12" s="1"/>
  <c r="X8"/>
  <c r="X7"/>
  <c r="AB7" s="1"/>
  <c r="Y8" s="1"/>
  <c r="Y9" s="1"/>
  <c r="Y10" s="1"/>
  <c r="AA8" i="20"/>
  <c r="AA9" s="1"/>
  <c r="Z8"/>
  <c r="Z9" s="1"/>
  <c r="AB8" i="17" l="1"/>
  <c r="AC8" s="1"/>
  <c r="AD8" s="1"/>
  <c r="AC7"/>
  <c r="C7"/>
  <c r="AC19"/>
  <c r="AD7"/>
  <c r="AD19" s="1"/>
  <c r="AB10"/>
  <c r="C10" s="1"/>
  <c r="AB9"/>
  <c r="Z10" i="20"/>
  <c r="AA10" s="1"/>
  <c r="C8" i="17" l="1"/>
  <c r="AC9"/>
  <c r="AD9" s="1"/>
  <c r="C9"/>
  <c r="AC10"/>
  <c r="AD10" s="1"/>
  <c r="Y11"/>
  <c r="Y12" l="1"/>
  <c r="AB11"/>
  <c r="AC11" l="1"/>
  <c r="C11"/>
  <c r="Y13"/>
  <c r="AB12"/>
  <c r="AD11"/>
  <c r="AC12" l="1"/>
  <c r="AD12" s="1"/>
  <c r="C12"/>
  <c r="Z13"/>
  <c r="Z14" s="1"/>
  <c r="Z15" s="1"/>
  <c r="Z16" s="1"/>
  <c r="Z17" s="1"/>
  <c r="Z18" s="1"/>
  <c r="AA13" l="1"/>
  <c r="AA14" s="1"/>
  <c r="AA15" s="1"/>
  <c r="AA16" s="1"/>
  <c r="AA17" s="1"/>
  <c r="AA18" s="1"/>
  <c r="AB13" l="1"/>
  <c r="Y14" s="1"/>
  <c r="Y15" s="1"/>
  <c r="AB15" s="1"/>
  <c r="Y16" l="1"/>
  <c r="Y17" s="1"/>
  <c r="AB14"/>
  <c r="AC13"/>
  <c r="AC20" s="1"/>
  <c r="C13"/>
  <c r="AC14"/>
  <c r="AD14" s="1"/>
  <c r="C14"/>
  <c r="AC15"/>
  <c r="AD15" s="1"/>
  <c r="C15"/>
  <c r="AD13"/>
  <c r="AD20" s="1"/>
  <c r="AB16" l="1"/>
  <c r="AC16"/>
  <c r="AD16" s="1"/>
  <c r="C16"/>
  <c r="Y18"/>
  <c r="AB18" s="1"/>
  <c r="AB17"/>
  <c r="AC18" l="1"/>
  <c r="AD18" s="1"/>
  <c r="C18"/>
  <c r="AC17"/>
  <c r="AD17" s="1"/>
  <c r="C17"/>
  <c r="X18" i="20"/>
  <c r="X17"/>
  <c r="X16"/>
  <c r="X15"/>
  <c r="X14"/>
  <c r="X13"/>
  <c r="X12"/>
  <c r="X11"/>
  <c r="X10"/>
  <c r="X9"/>
  <c r="X8"/>
  <c r="X7"/>
  <c r="AB7" s="1"/>
  <c r="U24"/>
  <c r="M24"/>
  <c r="V24" s="1"/>
  <c r="T23"/>
  <c r="S23"/>
  <c r="R23"/>
  <c r="Q23"/>
  <c r="P23"/>
  <c r="O23"/>
  <c r="N23"/>
  <c r="L23"/>
  <c r="K23"/>
  <c r="J23"/>
  <c r="I23"/>
  <c r="H23"/>
  <c r="G23"/>
  <c r="F23"/>
  <c r="E23"/>
  <c r="D23"/>
  <c r="C23"/>
  <c r="T22"/>
  <c r="S22"/>
  <c r="R22"/>
  <c r="Q22"/>
  <c r="P22"/>
  <c r="O22"/>
  <c r="N22"/>
  <c r="L22"/>
  <c r="K22"/>
  <c r="J22"/>
  <c r="I22"/>
  <c r="H22"/>
  <c r="G22"/>
  <c r="F22"/>
  <c r="E22"/>
  <c r="D22"/>
  <c r="C22"/>
  <c r="T21"/>
  <c r="S21"/>
  <c r="R21"/>
  <c r="Q21"/>
  <c r="P21"/>
  <c r="O21"/>
  <c r="N21"/>
  <c r="L21"/>
  <c r="K21"/>
  <c r="J21"/>
  <c r="I21"/>
  <c r="H21"/>
  <c r="G21"/>
  <c r="F21"/>
  <c r="E21"/>
  <c r="D21"/>
  <c r="C21"/>
  <c r="T20"/>
  <c r="T19"/>
  <c r="S18"/>
  <c r="R18"/>
  <c r="Q18"/>
  <c r="P18"/>
  <c r="O18"/>
  <c r="L18"/>
  <c r="K18"/>
  <c r="J18"/>
  <c r="I18"/>
  <c r="H18"/>
  <c r="G18"/>
  <c r="D18"/>
  <c r="S17"/>
  <c r="R17"/>
  <c r="Q17"/>
  <c r="P17"/>
  <c r="O17"/>
  <c r="L17"/>
  <c r="K17"/>
  <c r="J17"/>
  <c r="I17"/>
  <c r="H17"/>
  <c r="G17"/>
  <c r="D17"/>
  <c r="S16"/>
  <c r="R16"/>
  <c r="Q16"/>
  <c r="P16"/>
  <c r="O16"/>
  <c r="L16"/>
  <c r="K16"/>
  <c r="J16"/>
  <c r="I16"/>
  <c r="H16"/>
  <c r="G16"/>
  <c r="D16"/>
  <c r="S15"/>
  <c r="R15"/>
  <c r="Q15"/>
  <c r="P15"/>
  <c r="O15"/>
  <c r="L15"/>
  <c r="K15"/>
  <c r="J15"/>
  <c r="I15"/>
  <c r="H15"/>
  <c r="G15"/>
  <c r="D15"/>
  <c r="S14"/>
  <c r="R14"/>
  <c r="Q14"/>
  <c r="P14"/>
  <c r="O14"/>
  <c r="L14"/>
  <c r="K14"/>
  <c r="J14"/>
  <c r="I14"/>
  <c r="H14"/>
  <c r="G14"/>
  <c r="D14"/>
  <c r="S13"/>
  <c r="R13"/>
  <c r="Q13"/>
  <c r="P13"/>
  <c r="O13"/>
  <c r="L13"/>
  <c r="K13"/>
  <c r="J13"/>
  <c r="I13"/>
  <c r="H13"/>
  <c r="G13"/>
  <c r="D13"/>
  <c r="S12"/>
  <c r="R12"/>
  <c r="Q12"/>
  <c r="P12"/>
  <c r="O12"/>
  <c r="L12"/>
  <c r="K12"/>
  <c r="J12"/>
  <c r="I12"/>
  <c r="H12"/>
  <c r="G12"/>
  <c r="D12"/>
  <c r="S11"/>
  <c r="R11"/>
  <c r="Q11"/>
  <c r="P11"/>
  <c r="O11"/>
  <c r="L11"/>
  <c r="K11"/>
  <c r="J11"/>
  <c r="I11"/>
  <c r="H11"/>
  <c r="G11"/>
  <c r="D11"/>
  <c r="S10"/>
  <c r="R10"/>
  <c r="Q10"/>
  <c r="P10"/>
  <c r="O10"/>
  <c r="L10"/>
  <c r="K10"/>
  <c r="J10"/>
  <c r="I10"/>
  <c r="H10"/>
  <c r="G10"/>
  <c r="D10"/>
  <c r="S9"/>
  <c r="R9"/>
  <c r="Q9"/>
  <c r="P9"/>
  <c r="O9"/>
  <c r="L9"/>
  <c r="K9"/>
  <c r="J9"/>
  <c r="I9"/>
  <c r="H9"/>
  <c r="G9"/>
  <c r="D9"/>
  <c r="S8"/>
  <c r="R8"/>
  <c r="Q8"/>
  <c r="P8"/>
  <c r="O8"/>
  <c r="L8"/>
  <c r="K8"/>
  <c r="J8"/>
  <c r="I8"/>
  <c r="H8"/>
  <c r="G8"/>
  <c r="D8"/>
  <c r="S7"/>
  <c r="R7"/>
  <c r="Q7"/>
  <c r="P7"/>
  <c r="O7"/>
  <c r="L7"/>
  <c r="K7"/>
  <c r="J7"/>
  <c r="I7"/>
  <c r="H7"/>
  <c r="G7"/>
  <c r="F7"/>
  <c r="F8" s="1"/>
  <c r="F9" s="1"/>
  <c r="F10" s="1"/>
  <c r="F11" s="1"/>
  <c r="F12" s="1"/>
  <c r="F13" s="1"/>
  <c r="F14" s="1"/>
  <c r="F15" s="1"/>
  <c r="F16" s="1"/>
  <c r="F17" s="1"/>
  <c r="F18" s="1"/>
  <c r="D7"/>
  <c r="S6"/>
  <c r="N6"/>
  <c r="K6"/>
  <c r="J6"/>
  <c r="I6"/>
  <c r="H6"/>
  <c r="S4"/>
  <c r="J4"/>
  <c r="D4"/>
  <c r="S3"/>
  <c r="J3"/>
  <c r="D3"/>
  <c r="H22" i="17"/>
  <c r="H34" i="11"/>
  <c r="M21" i="20" l="1"/>
  <c r="U23"/>
  <c r="D25"/>
  <c r="G25"/>
  <c r="I25"/>
  <c r="K25"/>
  <c r="H12" i="11" s="1"/>
  <c r="O25" i="20"/>
  <c r="Q25"/>
  <c r="S25"/>
  <c r="C7"/>
  <c r="Y8"/>
  <c r="Y9" s="1"/>
  <c r="Y10" s="1"/>
  <c r="R25"/>
  <c r="U21"/>
  <c r="V21" s="1"/>
  <c r="L25"/>
  <c r="J25"/>
  <c r="H25"/>
  <c r="M22"/>
  <c r="M23"/>
  <c r="V23" s="1"/>
  <c r="U22"/>
  <c r="V22" s="1"/>
  <c r="P25"/>
  <c r="E7"/>
  <c r="M7" s="1"/>
  <c r="AC7"/>
  <c r="AD7" s="1"/>
  <c r="AD19" s="1"/>
  <c r="K31" i="9" s="1"/>
  <c r="F25" i="20"/>
  <c r="T20" i="17"/>
  <c r="T21"/>
  <c r="T22"/>
  <c r="T23"/>
  <c r="T19"/>
  <c r="H5" i="18"/>
  <c r="G22" i="9"/>
  <c r="G23" s="1"/>
  <c r="G24" s="1"/>
  <c r="G25" s="1"/>
  <c r="G26" s="1"/>
  <c r="G27" s="1"/>
  <c r="G28" s="1"/>
  <c r="G29" s="1"/>
  <c r="G30" s="1"/>
  <c r="G31" s="1"/>
  <c r="G32" s="1"/>
  <c r="T17" i="20"/>
  <c r="T15"/>
  <c r="T13"/>
  <c r="T12"/>
  <c r="T11"/>
  <c r="T10"/>
  <c r="T9"/>
  <c r="T8"/>
  <c r="H14" i="16"/>
  <c r="H13"/>
  <c r="E14"/>
  <c r="E13"/>
  <c r="C14"/>
  <c r="C13"/>
  <c r="B13"/>
  <c r="B14"/>
  <c r="T7" i="17" l="1"/>
  <c r="T7" i="20"/>
  <c r="T14" i="17"/>
  <c r="T14" i="20"/>
  <c r="T16" i="17"/>
  <c r="T16" i="20"/>
  <c r="N19" i="17"/>
  <c r="N19" i="20"/>
  <c r="U19" s="1"/>
  <c r="AB8"/>
  <c r="AC19"/>
  <c r="K30" i="9" s="1"/>
  <c r="T18" i="17"/>
  <c r="T18" i="20"/>
  <c r="T25" s="1"/>
  <c r="H33" i="11" s="1"/>
  <c r="N7" i="20"/>
  <c r="AB9"/>
  <c r="C9" s="1"/>
  <c r="T17" i="17"/>
  <c r="T15"/>
  <c r="T13"/>
  <c r="T12"/>
  <c r="T10"/>
  <c r="T8"/>
  <c r="T11"/>
  <c r="T9"/>
  <c r="H16" i="18"/>
  <c r="H15"/>
  <c r="H18"/>
  <c r="H38" i="15"/>
  <c r="H36"/>
  <c r="E24" i="16"/>
  <c r="E25"/>
  <c r="E26"/>
  <c r="E23"/>
  <c r="C24"/>
  <c r="C25"/>
  <c r="C26"/>
  <c r="C23"/>
  <c r="B24"/>
  <c r="B25"/>
  <c r="B26"/>
  <c r="B23"/>
  <c r="H24"/>
  <c r="H25"/>
  <c r="H26"/>
  <c r="H23"/>
  <c r="H12"/>
  <c r="E12"/>
  <c r="C12"/>
  <c r="B12"/>
  <c r="H5"/>
  <c r="H6"/>
  <c r="H7"/>
  <c r="H8"/>
  <c r="H4"/>
  <c r="E5"/>
  <c r="E6"/>
  <c r="E7"/>
  <c r="E8"/>
  <c r="E4"/>
  <c r="C5"/>
  <c r="C6"/>
  <c r="C7"/>
  <c r="C8"/>
  <c r="C4"/>
  <c r="B5"/>
  <c r="B6"/>
  <c r="B7"/>
  <c r="B8"/>
  <c r="B4"/>
  <c r="H19"/>
  <c r="H18"/>
  <c r="G19"/>
  <c r="G18"/>
  <c r="D19"/>
  <c r="D18"/>
  <c r="B19"/>
  <c r="B18"/>
  <c r="J15" i="17"/>
  <c r="I6"/>
  <c r="K6"/>
  <c r="F34" i="16"/>
  <c r="F35"/>
  <c r="F36"/>
  <c r="F33"/>
  <c r="F46" i="18"/>
  <c r="F45"/>
  <c r="F44"/>
  <c r="F43"/>
  <c r="H19" i="15"/>
  <c r="H20" i="16" l="1"/>
  <c r="H37" i="15" s="1"/>
  <c r="E19" i="17"/>
  <c r="E19" i="20"/>
  <c r="M19" s="1"/>
  <c r="V19" s="1"/>
  <c r="AC8"/>
  <c r="AD8" s="1"/>
  <c r="C8"/>
  <c r="E8" s="1"/>
  <c r="AC9"/>
  <c r="AD9" s="1"/>
  <c r="U7"/>
  <c r="AB10"/>
  <c r="C10" s="1"/>
  <c r="H15" i="16"/>
  <c r="H39" i="15" s="1"/>
  <c r="H9" i="16"/>
  <c r="H35" i="15" s="1"/>
  <c r="H27" i="16"/>
  <c r="H33" i="18" s="1"/>
  <c r="I36"/>
  <c r="N8" i="20" l="1"/>
  <c r="V7"/>
  <c r="E9"/>
  <c r="M9" s="1"/>
  <c r="M8"/>
  <c r="AC10" l="1"/>
  <c r="AD10" s="1"/>
  <c r="Y11"/>
  <c r="N9"/>
  <c r="U9" s="1"/>
  <c r="V9" s="1"/>
  <c r="E10"/>
  <c r="N10" s="1"/>
  <c r="U10" s="1"/>
  <c r="U8"/>
  <c r="Y12" l="1"/>
  <c r="Z11"/>
  <c r="Z12" s="1"/>
  <c r="M10"/>
  <c r="V8"/>
  <c r="F12" i="15"/>
  <c r="H5"/>
  <c r="H6"/>
  <c r="H7"/>
  <c r="H4"/>
  <c r="H4" i="11"/>
  <c r="E7" i="15"/>
  <c r="E6"/>
  <c r="E5"/>
  <c r="E4"/>
  <c r="H21"/>
  <c r="Y13" i="20" l="1"/>
  <c r="Z13" s="1"/>
  <c r="Z14" s="1"/>
  <c r="Z15" s="1"/>
  <c r="Z16" s="1"/>
  <c r="Z17" s="1"/>
  <c r="Z18" s="1"/>
  <c r="AA11"/>
  <c r="AA12" s="1"/>
  <c r="V10"/>
  <c r="U24" i="17"/>
  <c r="M24"/>
  <c r="S23"/>
  <c r="R23"/>
  <c r="Q23"/>
  <c r="P23"/>
  <c r="O23"/>
  <c r="N23"/>
  <c r="L23"/>
  <c r="K23"/>
  <c r="J23"/>
  <c r="I23"/>
  <c r="H23"/>
  <c r="G23"/>
  <c r="F23"/>
  <c r="E23"/>
  <c r="D23"/>
  <c r="C23"/>
  <c r="S22"/>
  <c r="R22"/>
  <c r="Q22"/>
  <c r="P22"/>
  <c r="O22"/>
  <c r="N22"/>
  <c r="L22"/>
  <c r="K22"/>
  <c r="J22"/>
  <c r="I22"/>
  <c r="G22"/>
  <c r="F22"/>
  <c r="E22"/>
  <c r="D22"/>
  <c r="C22"/>
  <c r="S21"/>
  <c r="R21"/>
  <c r="Q21"/>
  <c r="P21"/>
  <c r="O21"/>
  <c r="N21"/>
  <c r="L21"/>
  <c r="K21"/>
  <c r="J21"/>
  <c r="I21"/>
  <c r="H21"/>
  <c r="G21"/>
  <c r="F21"/>
  <c r="E21"/>
  <c r="D21"/>
  <c r="C21"/>
  <c r="S18"/>
  <c r="R18"/>
  <c r="Q18"/>
  <c r="P18"/>
  <c r="O18"/>
  <c r="L18"/>
  <c r="K18"/>
  <c r="J18"/>
  <c r="I18"/>
  <c r="H18"/>
  <c r="G18"/>
  <c r="D18"/>
  <c r="S17"/>
  <c r="R17"/>
  <c r="Q17"/>
  <c r="P17"/>
  <c r="O17"/>
  <c r="L17"/>
  <c r="K17"/>
  <c r="J17"/>
  <c r="I17"/>
  <c r="H17"/>
  <c r="G17"/>
  <c r="D17"/>
  <c r="S16"/>
  <c r="R16"/>
  <c r="Q16"/>
  <c r="P16"/>
  <c r="O16"/>
  <c r="L16"/>
  <c r="K16"/>
  <c r="J16"/>
  <c r="I16"/>
  <c r="H16"/>
  <c r="G16"/>
  <c r="D16"/>
  <c r="S15"/>
  <c r="R15"/>
  <c r="Q15"/>
  <c r="P15"/>
  <c r="O15"/>
  <c r="L15"/>
  <c r="K15"/>
  <c r="I15"/>
  <c r="H15"/>
  <c r="G15"/>
  <c r="S14"/>
  <c r="R14"/>
  <c r="Q14"/>
  <c r="P14"/>
  <c r="O14"/>
  <c r="L14"/>
  <c r="K14"/>
  <c r="J14"/>
  <c r="I14"/>
  <c r="H14"/>
  <c r="G14"/>
  <c r="D14"/>
  <c r="S13"/>
  <c r="R13"/>
  <c r="Q13"/>
  <c r="P13"/>
  <c r="O13"/>
  <c r="L13"/>
  <c r="K13"/>
  <c r="J13"/>
  <c r="I13"/>
  <c r="H13"/>
  <c r="G13"/>
  <c r="D13"/>
  <c r="S12"/>
  <c r="R12"/>
  <c r="Q12"/>
  <c r="P12"/>
  <c r="O12"/>
  <c r="L12"/>
  <c r="K12"/>
  <c r="J12"/>
  <c r="I12"/>
  <c r="H12"/>
  <c r="G12"/>
  <c r="D12"/>
  <c r="S11"/>
  <c r="R11"/>
  <c r="Q11"/>
  <c r="P11"/>
  <c r="O11"/>
  <c r="L11"/>
  <c r="K11"/>
  <c r="J11"/>
  <c r="I11"/>
  <c r="H11"/>
  <c r="G11"/>
  <c r="D11"/>
  <c r="S10"/>
  <c r="R10"/>
  <c r="Q10"/>
  <c r="P10"/>
  <c r="O10"/>
  <c r="L10"/>
  <c r="K10"/>
  <c r="J10"/>
  <c r="I10"/>
  <c r="H10"/>
  <c r="G10"/>
  <c r="D10"/>
  <c r="S9"/>
  <c r="R9"/>
  <c r="Q9"/>
  <c r="P9"/>
  <c r="O9"/>
  <c r="L9"/>
  <c r="K9"/>
  <c r="J9"/>
  <c r="I9"/>
  <c r="H9"/>
  <c r="G9"/>
  <c r="D9"/>
  <c r="S8"/>
  <c r="R8"/>
  <c r="Q8"/>
  <c r="P8"/>
  <c r="O8"/>
  <c r="L8"/>
  <c r="K8"/>
  <c r="J8"/>
  <c r="I8"/>
  <c r="H8"/>
  <c r="G8"/>
  <c r="D8"/>
  <c r="S7"/>
  <c r="R7"/>
  <c r="Q7"/>
  <c r="P7"/>
  <c r="O7"/>
  <c r="L7"/>
  <c r="K7"/>
  <c r="J7"/>
  <c r="I7"/>
  <c r="H7"/>
  <c r="G7"/>
  <c r="F7"/>
  <c r="D7"/>
  <c r="S6"/>
  <c r="N6"/>
  <c r="J6"/>
  <c r="H6"/>
  <c r="S4"/>
  <c r="J4"/>
  <c r="D4"/>
  <c r="S3"/>
  <c r="J3"/>
  <c r="D3"/>
  <c r="G12" i="15"/>
  <c r="AA13" i="20" l="1"/>
  <c r="AA14" s="1"/>
  <c r="AA15" s="1"/>
  <c r="AA16" s="1"/>
  <c r="AA17" s="1"/>
  <c r="AA18" s="1"/>
  <c r="AB12"/>
  <c r="AB11"/>
  <c r="V24" i="17"/>
  <c r="M23"/>
  <c r="H25"/>
  <c r="P25"/>
  <c r="R25"/>
  <c r="D25"/>
  <c r="G25"/>
  <c r="K25"/>
  <c r="H20" i="15" s="1"/>
  <c r="O25" i="17"/>
  <c r="Q25"/>
  <c r="H4" i="18" s="1"/>
  <c r="H9" s="1"/>
  <c r="H19" s="1"/>
  <c r="S25" i="17"/>
  <c r="H34" i="15" s="1"/>
  <c r="F37" i="18" s="1"/>
  <c r="M21" i="17"/>
  <c r="U21"/>
  <c r="M22"/>
  <c r="U22"/>
  <c r="U23"/>
  <c r="L25"/>
  <c r="J25"/>
  <c r="I25"/>
  <c r="F8"/>
  <c r="F9" s="1"/>
  <c r="F10" s="1"/>
  <c r="F11" s="1"/>
  <c r="F12" s="1"/>
  <c r="F13" s="1"/>
  <c r="F14" s="1"/>
  <c r="F15" s="1"/>
  <c r="F16" s="1"/>
  <c r="F17" s="1"/>
  <c r="F18" s="1"/>
  <c r="AC11" i="20" l="1"/>
  <c r="AD11" s="1"/>
  <c r="C11"/>
  <c r="E11" s="1"/>
  <c r="M11" s="1"/>
  <c r="AC12"/>
  <c r="AD12" s="1"/>
  <c r="C12"/>
  <c r="E12" s="1"/>
  <c r="M12" s="1"/>
  <c r="AB13"/>
  <c r="Y14" s="1"/>
  <c r="Y15" s="1"/>
  <c r="H33" i="15"/>
  <c r="T25" i="17"/>
  <c r="H32" i="18" s="1"/>
  <c r="V23" i="17"/>
  <c r="V22"/>
  <c r="V21"/>
  <c r="F25"/>
  <c r="G15" i="15" s="1"/>
  <c r="AB14" i="20" l="1"/>
  <c r="C14" s="1"/>
  <c r="E14" s="1"/>
  <c r="M14" s="1"/>
  <c r="N12"/>
  <c r="U12" s="1"/>
  <c r="V12" s="1"/>
  <c r="AC13"/>
  <c r="AD13" s="1"/>
  <c r="AD20" s="1"/>
  <c r="K34" i="9" s="1"/>
  <c r="C13" i="20"/>
  <c r="E13" s="1"/>
  <c r="N13" s="1"/>
  <c r="U13" s="1"/>
  <c r="AC20"/>
  <c r="K33" i="9" s="1"/>
  <c r="N11" i="20"/>
  <c r="U11" s="1"/>
  <c r="V11" s="1"/>
  <c r="Y16"/>
  <c r="AC14"/>
  <c r="AD14" s="1"/>
  <c r="AB15"/>
  <c r="C15" s="1"/>
  <c r="M13"/>
  <c r="N20" i="17" l="1"/>
  <c r="N20" i="20"/>
  <c r="U20" s="1"/>
  <c r="E20" i="17"/>
  <c r="E20" i="20"/>
  <c r="M20" s="1"/>
  <c r="V20" s="1"/>
  <c r="Y17"/>
  <c r="N14"/>
  <c r="U14" s="1"/>
  <c r="V14" s="1"/>
  <c r="AC15"/>
  <c r="AD15" s="1"/>
  <c r="E15"/>
  <c r="N15" s="1"/>
  <c r="U15" s="1"/>
  <c r="AB16"/>
  <c r="C16" s="1"/>
  <c r="V13"/>
  <c r="H6" i="11"/>
  <c r="G42"/>
  <c r="G43"/>
  <c r="G44"/>
  <c r="G41"/>
  <c r="E4"/>
  <c r="Y18" i="20" l="1"/>
  <c r="M15"/>
  <c r="V15" s="1"/>
  <c r="E16"/>
  <c r="M16" s="1"/>
  <c r="AC16"/>
  <c r="AD16" s="1"/>
  <c r="AB17"/>
  <c r="C17" s="1"/>
  <c r="N16" l="1"/>
  <c r="U16" s="1"/>
  <c r="V16" s="1"/>
  <c r="AB18"/>
  <c r="C18" s="1"/>
  <c r="AC17"/>
  <c r="AD17" s="1"/>
  <c r="E17"/>
  <c r="M17" s="1"/>
  <c r="H7" i="11"/>
  <c r="H5"/>
  <c r="AC18" i="20" l="1"/>
  <c r="AD18" s="1"/>
  <c r="N17"/>
  <c r="U17" s="1"/>
  <c r="V17" s="1"/>
  <c r="M19" i="17"/>
  <c r="E18" i="20" l="1"/>
  <c r="C25"/>
  <c r="U19" i="17"/>
  <c r="V19" s="1"/>
  <c r="E25" i="20" l="1"/>
  <c r="M18"/>
  <c r="M25" s="1"/>
  <c r="I9" i="11" s="1"/>
  <c r="N18" i="20"/>
  <c r="M20" i="17"/>
  <c r="U18" i="20" l="1"/>
  <c r="N25"/>
  <c r="U20" i="17"/>
  <c r="U25" i="20" l="1"/>
  <c r="V18"/>
  <c r="V25" s="1"/>
  <c r="V20" i="17"/>
  <c r="H11" i="11" l="1"/>
  <c r="I13" s="1"/>
  <c r="E7"/>
  <c r="E6"/>
  <c r="E5"/>
  <c r="I18" l="1"/>
  <c r="I19" s="1"/>
  <c r="G24" l="1"/>
  <c r="H24" s="1"/>
  <c r="G21"/>
  <c r="H21" s="1"/>
  <c r="G26"/>
  <c r="H26" s="1"/>
  <c r="G23"/>
  <c r="H29" s="1"/>
  <c r="G22"/>
  <c r="H22" s="1"/>
  <c r="G25"/>
  <c r="H25" s="1"/>
  <c r="H23" l="1"/>
  <c r="I27" s="1"/>
  <c r="H28" s="1"/>
  <c r="I30" l="1"/>
  <c r="I31" l="1"/>
  <c r="I32" s="1"/>
  <c r="L7" s="1"/>
  <c r="N4" i="9" l="1"/>
  <c r="I35" i="11"/>
  <c r="L7" i="15"/>
  <c r="H46" i="11" l="1"/>
  <c r="I46"/>
  <c r="E7" i="17" l="1"/>
  <c r="M7" s="1"/>
  <c r="E8" l="1"/>
  <c r="M8" s="1"/>
  <c r="E9"/>
  <c r="N9" s="1"/>
  <c r="U9" s="1"/>
  <c r="N7"/>
  <c r="N8" l="1"/>
  <c r="U8" s="1"/>
  <c r="V8" s="1"/>
  <c r="U7"/>
  <c r="M9"/>
  <c r="V9" s="1"/>
  <c r="E10" l="1"/>
  <c r="M10" s="1"/>
  <c r="V7"/>
  <c r="E11" l="1"/>
  <c r="N11" s="1"/>
  <c r="U11" s="1"/>
  <c r="N10"/>
  <c r="U10" s="1"/>
  <c r="V10" s="1"/>
  <c r="M11" l="1"/>
  <c r="E12"/>
  <c r="N12" s="1"/>
  <c r="U12" s="1"/>
  <c r="V11"/>
  <c r="E13" l="1"/>
  <c r="M13" s="1"/>
  <c r="M12"/>
  <c r="V12" s="1"/>
  <c r="N13" l="1"/>
  <c r="U13" s="1"/>
  <c r="E14"/>
  <c r="M14" s="1"/>
  <c r="N14" l="1"/>
  <c r="U14" s="1"/>
  <c r="V14" s="1"/>
  <c r="E15"/>
  <c r="M15" s="1"/>
  <c r="V13"/>
  <c r="E16" l="1"/>
  <c r="M16" s="1"/>
  <c r="N15"/>
  <c r="U15" s="1"/>
  <c r="V15" s="1"/>
  <c r="N16" l="1"/>
  <c r="U16" s="1"/>
  <c r="V16" s="1"/>
  <c r="E17"/>
  <c r="N17" s="1"/>
  <c r="U17" s="1"/>
  <c r="M17" l="1"/>
  <c r="V17" s="1"/>
  <c r="C25" l="1"/>
  <c r="E18"/>
  <c r="M18" l="1"/>
  <c r="M25" s="1"/>
  <c r="I9" i="15" s="1"/>
  <c r="E25" i="17"/>
  <c r="G16" i="15" s="1"/>
  <c r="N18" i="17"/>
  <c r="G13" i="15" l="1"/>
  <c r="N25" i="17"/>
  <c r="H32" i="15" s="1"/>
  <c r="U18" i="17"/>
  <c r="H18" i="15"/>
  <c r="G14" l="1"/>
  <c r="H17" s="1"/>
  <c r="H44"/>
  <c r="V18" i="17"/>
  <c r="V25" s="1"/>
  <c r="U25"/>
  <c r="I24" i="15" l="1"/>
  <c r="I29" s="1"/>
  <c r="I46" l="1"/>
  <c r="I2" i="18" s="1"/>
  <c r="I20" l="1"/>
  <c r="I21" s="1"/>
  <c r="G23" l="1"/>
  <c r="H23" s="1"/>
  <c r="G26"/>
  <c r="H26" s="1"/>
  <c r="G25"/>
  <c r="H25" s="1"/>
  <c r="G24"/>
  <c r="H24" s="1"/>
  <c r="I27" l="1"/>
  <c r="H28" s="1"/>
  <c r="I29" s="1"/>
  <c r="I30" s="1"/>
  <c r="I31" s="1"/>
  <c r="K7" i="11" s="1"/>
  <c r="N5" i="9" l="1"/>
  <c r="K7" i="15"/>
  <c r="I34" i="18"/>
  <c r="H48" l="1"/>
  <c r="I48"/>
</calcChain>
</file>

<file path=xl/sharedStrings.xml><?xml version="1.0" encoding="utf-8"?>
<sst xmlns="http://schemas.openxmlformats.org/spreadsheetml/2006/main" count="571" uniqueCount="383">
  <si>
    <t>DEDUCTIONS</t>
  </si>
  <si>
    <t>SPF</t>
  </si>
  <si>
    <t>FBF</t>
  </si>
  <si>
    <t>NHIS</t>
  </si>
  <si>
    <t>HRA</t>
  </si>
  <si>
    <t>MA</t>
  </si>
  <si>
    <t>DA</t>
  </si>
  <si>
    <t/>
  </si>
  <si>
    <t>TOTAL</t>
  </si>
  <si>
    <t>CERTIFICATE</t>
  </si>
  <si>
    <t>PP</t>
  </si>
  <si>
    <t>GROSS</t>
  </si>
  <si>
    <t xml:space="preserve">PAN : </t>
  </si>
  <si>
    <t xml:space="preserve">Name : </t>
  </si>
  <si>
    <t xml:space="preserve">Office : </t>
  </si>
  <si>
    <t xml:space="preserve">CPS : </t>
  </si>
  <si>
    <t xml:space="preserve">Address : </t>
  </si>
  <si>
    <t xml:space="preserve">Designation : </t>
  </si>
  <si>
    <t>Net Tax Payable</t>
  </si>
  <si>
    <t>Amount Rs.</t>
  </si>
  <si>
    <t>INCOME  /  REBATE  PARTICULARS</t>
  </si>
  <si>
    <t>Signature of the Employee</t>
  </si>
  <si>
    <t>Financial Year</t>
  </si>
  <si>
    <t>Assessment year</t>
  </si>
  <si>
    <t>PAN No.</t>
  </si>
  <si>
    <t xml:space="preserve">EMPLOYEE NAME  </t>
  </si>
  <si>
    <t>DESIGNATION</t>
  </si>
  <si>
    <t>OFFICE NAME</t>
  </si>
  <si>
    <t>GPF / CPS No.</t>
  </si>
  <si>
    <t>EMPLOYEE PROFILE</t>
  </si>
  <si>
    <t>OFFICE ADDRESS</t>
  </si>
  <si>
    <t>PAY</t>
  </si>
  <si>
    <t>CCA</t>
  </si>
  <si>
    <t>DA ARREARS</t>
  </si>
  <si>
    <t>Conveyance Allowance</t>
  </si>
  <si>
    <t>Month</t>
  </si>
  <si>
    <t>Spl. A</t>
  </si>
  <si>
    <t>Con. A</t>
  </si>
  <si>
    <t xml:space="preserve">TOTAL </t>
  </si>
  <si>
    <t>DA - 1</t>
  </si>
  <si>
    <t>DA - 2</t>
  </si>
  <si>
    <t>(b) Income from Savings Bank Interest</t>
  </si>
  <si>
    <t xml:space="preserve">              </t>
  </si>
  <si>
    <t xml:space="preserve">(a) Income from House Property    </t>
  </si>
  <si>
    <t xml:space="preserve">          </t>
  </si>
  <si>
    <t>Total Income from Salary including HRA / Hon. Etc.</t>
  </si>
  <si>
    <t>TDS</t>
  </si>
  <si>
    <t>STATEMENT  SHOWING  PAY  DRAWN  PARTICULARS  ( 2024 - 2025 )</t>
  </si>
  <si>
    <t>Certified that the details furnished above are true to the best of my knowledge.</t>
  </si>
  <si>
    <t>/ COUNTER SIGNED /</t>
  </si>
  <si>
    <t>Aug - 2024</t>
  </si>
  <si>
    <t>Mar - 2024</t>
  </si>
  <si>
    <t>Apr - 2024</t>
  </si>
  <si>
    <t>May - 2024</t>
  </si>
  <si>
    <t>Jun - 2024</t>
  </si>
  <si>
    <t>Jul - 2024</t>
  </si>
  <si>
    <t>Sep - 2024</t>
  </si>
  <si>
    <t>Oct - 2024</t>
  </si>
  <si>
    <t>Nov - 2024</t>
  </si>
  <si>
    <t>Dec - 2024</t>
  </si>
  <si>
    <t>Jan - 2025</t>
  </si>
  <si>
    <t>Feb - 2025</t>
  </si>
  <si>
    <t>Balance of Income Tax to be Deducted from Salary
(Feb' 2025 Tax Deduction)</t>
  </si>
  <si>
    <t xml:space="preserve">IFHRMS : </t>
  </si>
  <si>
    <t>https://historydesc.blogspot.com</t>
  </si>
  <si>
    <t>GPF - 1 / CPS - 2</t>
  </si>
  <si>
    <t>NET SALARY</t>
  </si>
  <si>
    <t>Increment</t>
  </si>
  <si>
    <t>Selection Grade</t>
  </si>
  <si>
    <t xml:space="preserve">TAN : </t>
  </si>
  <si>
    <t>Personal Pay (PP)</t>
  </si>
  <si>
    <t xml:space="preserve">IT CESS </t>
  </si>
  <si>
    <t>Head of the Office (with seal)</t>
  </si>
  <si>
    <t>Signature of Head of the Office</t>
  </si>
  <si>
    <t>(c) Any other Income (FD Interest, Agricultural Income, etc.)</t>
  </si>
  <si>
    <t>Taxable Income (Rounded off the nearest ten rupee)</t>
  </si>
  <si>
    <t>APR - 2024</t>
  </si>
  <si>
    <t>MAR - 2024</t>
  </si>
  <si>
    <t>MAY - 2024</t>
  </si>
  <si>
    <t>JUN - 2024</t>
  </si>
  <si>
    <t>JUL - 2024</t>
  </si>
  <si>
    <t>AUG - 2024</t>
  </si>
  <si>
    <t>SEP - 2024</t>
  </si>
  <si>
    <t>OCT - 2024</t>
  </si>
  <si>
    <t>NOV - 2024</t>
  </si>
  <si>
    <t>DEC - 2024</t>
  </si>
  <si>
    <t>JAN - 2025</t>
  </si>
  <si>
    <t>FEB - 2025</t>
  </si>
  <si>
    <t xml:space="preserve">IFHRMS Emp. Id. </t>
  </si>
  <si>
    <t xml:space="preserve">OFFICE TAN No. </t>
  </si>
  <si>
    <t>PLEASE ENTER YOUR DETAILS</t>
  </si>
  <si>
    <t>NEW REGIME</t>
  </si>
  <si>
    <t>TOTAL INCOME TAX</t>
  </si>
  <si>
    <t>March 2024 to Feb 2025</t>
  </si>
  <si>
    <t>SEX : Male / Female</t>
  </si>
  <si>
    <t>PAY (Arrear)</t>
  </si>
  <si>
    <t xml:space="preserve">Personal Pay  (Arrear) </t>
  </si>
  <si>
    <t>DA (Arrear)</t>
  </si>
  <si>
    <t>HRA (Arrear)</t>
  </si>
  <si>
    <t>Other Allowance</t>
  </si>
  <si>
    <t>Oth. A</t>
  </si>
  <si>
    <t>INCREMENT DETAIL</t>
  </si>
  <si>
    <t>THANK YOU</t>
  </si>
  <si>
    <t>NEW  REGIME</t>
  </si>
  <si>
    <t xml:space="preserve">Upto Rs.3,00,000/-             </t>
  </si>
  <si>
    <t>Nil</t>
  </si>
  <si>
    <t xml:space="preserve">Rs.3,00,001 to 7,00,000/-     </t>
  </si>
  <si>
    <t xml:space="preserve">Rs.7,00,001 to 10,00,000/-   </t>
  </si>
  <si>
    <t xml:space="preserve">Rs.10,00,001 to 12,00,000/-    </t>
  </si>
  <si>
    <t xml:space="preserve">Rs.12,00,001 to 15,00,000/-      </t>
  </si>
  <si>
    <t xml:space="preserve">Rs.15,00,001 and Above     </t>
  </si>
  <si>
    <t>(b) Conveyance Allowance U/s 10(14) Exemption</t>
  </si>
  <si>
    <t>CPS (Arrear)</t>
  </si>
  <si>
    <t>B. Pay</t>
  </si>
  <si>
    <t>IT TAX</t>
  </si>
  <si>
    <t>MONTH</t>
  </si>
  <si>
    <t>Prepared By - A. ARIVAZHAGAN., M.A., M.Phil., M.Ed., PG TEACHER, GBHSS THIMIRI, RANIPET DISTRICT, Contact Number - 9944573722</t>
  </si>
  <si>
    <t>Incre. Arr</t>
  </si>
  <si>
    <t xml:space="preserve">Sel / Spl Arr </t>
  </si>
  <si>
    <t>Other Arr</t>
  </si>
  <si>
    <t>LESS : Allowing Exemption and Relief</t>
  </si>
  <si>
    <t>Hill. A</t>
  </si>
  <si>
    <t>Special Allowance</t>
  </si>
  <si>
    <t>Hill Allowance</t>
  </si>
  <si>
    <t>EARNINGS (IF Any Changes)</t>
  </si>
  <si>
    <t>DEDUCTIONS (IF Any Changes)</t>
  </si>
  <si>
    <t>CPS</t>
  </si>
  <si>
    <t>HBL</t>
  </si>
  <si>
    <t>GPF</t>
  </si>
  <si>
    <t>Increment Arr</t>
  </si>
  <si>
    <t>Sel / Spl Arr</t>
  </si>
  <si>
    <t>Bonus</t>
  </si>
  <si>
    <t>INCREMENT ARREAR (IF ANY)</t>
  </si>
  <si>
    <t>SEL Gr. / SPL Gr. ARREAR (IF ANY)</t>
  </si>
  <si>
    <t>Balance Income Tax + IT Cess     =</t>
  </si>
  <si>
    <r>
      <t>Prepared By - A. ARIVAZHAGAN, PG TEACHER, GBHSS THIMIRI, RNIPET DISTRICT, CELL -</t>
    </r>
    <r>
      <rPr>
        <b/>
        <sz val="10"/>
        <rFont val="Arial"/>
        <family val="2"/>
      </rPr>
      <t xml:space="preserve"> 9944573722</t>
    </r>
  </si>
  <si>
    <t>Hill A</t>
  </si>
  <si>
    <t xml:space="preserve">குறிப்பு  :       </t>
  </si>
  <si>
    <t>Aadhaar No. (Optional)</t>
  </si>
  <si>
    <t xml:space="preserve">PAN No. : </t>
  </si>
  <si>
    <t>SEL GR. / SPL GR. DETAIL</t>
  </si>
  <si>
    <t xml:space="preserve">DA 2 - Arrear </t>
  </si>
  <si>
    <t>HRA CHANGE (IF ANY)</t>
  </si>
  <si>
    <t>HRA CHANGED (IF ANY)</t>
  </si>
  <si>
    <t>LIC</t>
  </si>
  <si>
    <t xml:space="preserve">School : </t>
  </si>
  <si>
    <t xml:space="preserve">IFHRMS No. : </t>
  </si>
  <si>
    <r>
      <t xml:space="preserve">LESS : Rebate U/s 87A  (Less Upto Rs.25,000)  
             </t>
    </r>
    <r>
      <rPr>
        <b/>
        <sz val="10"/>
        <rFont val="Arial"/>
        <family val="2"/>
      </rPr>
      <t>( If Total Taxable Income does not Exceed Rs.7,00,000 )</t>
    </r>
  </si>
  <si>
    <t>Gross Taxable Income from all Sources</t>
  </si>
  <si>
    <t>Slab wise Tax on Taxable Income</t>
  </si>
  <si>
    <t>HRA Changed Month</t>
  </si>
  <si>
    <t>New HRA Amount</t>
  </si>
  <si>
    <r>
      <rPr>
        <b/>
        <sz val="12"/>
        <rFont val="Arial"/>
        <family val="2"/>
      </rPr>
      <t xml:space="preserve">GPF </t>
    </r>
    <r>
      <rPr>
        <b/>
        <sz val="11"/>
        <rFont val="Arial"/>
        <family val="2"/>
      </rPr>
      <t xml:space="preserve">இல் உள்ளவர்கள் கீழே </t>
    </r>
    <r>
      <rPr>
        <b/>
        <sz val="12"/>
        <rFont val="Arial"/>
        <family val="2"/>
      </rPr>
      <t xml:space="preserve">1 Entry </t>
    </r>
    <r>
      <rPr>
        <b/>
        <sz val="11"/>
        <rFont val="Arial"/>
        <family val="2"/>
      </rPr>
      <t xml:space="preserve">செய்த 
பிறகு அம்புக்குறிக்கு கீழே </t>
    </r>
    <r>
      <rPr>
        <b/>
        <sz val="12"/>
        <rFont val="Arial"/>
        <family val="2"/>
      </rPr>
      <t xml:space="preserve">Entry </t>
    </r>
    <r>
      <rPr>
        <b/>
        <sz val="11"/>
        <rFont val="Arial"/>
        <family val="2"/>
      </rPr>
      <t>செய்யவும்.</t>
    </r>
    <r>
      <rPr>
        <b/>
        <sz val="10"/>
        <rFont val="Arial"/>
        <family val="2"/>
      </rPr>
      <t xml:space="preserve"> </t>
    </r>
  </si>
  <si>
    <t>INCREMENT Added Month</t>
  </si>
  <si>
    <t>DA 1 Added Month</t>
  </si>
  <si>
    <t>DA 2 Added Month</t>
  </si>
  <si>
    <t>DA 2 - CPS</t>
  </si>
  <si>
    <t>DA 1 - CPS</t>
  </si>
  <si>
    <t xml:space="preserve">DA 1 - Arrear </t>
  </si>
  <si>
    <t xml:space="preserve">HB Loan Principal </t>
  </si>
  <si>
    <t xml:space="preserve">PLI / LIC with GST </t>
  </si>
  <si>
    <t xml:space="preserve">HB Loan Interest </t>
  </si>
  <si>
    <t>Paid in
Salary</t>
  </si>
  <si>
    <t>DA - 1 Arr</t>
  </si>
  <si>
    <t>DA - 2 Arr</t>
  </si>
  <si>
    <t xml:space="preserve">Pay Drawn Changes, CPS Changes, Allowance Changes, 
New Appoinment, Less Salary and IF Any Others 
Please use the Table given Below. </t>
  </si>
  <si>
    <r>
      <rPr>
        <b/>
        <sz val="18"/>
        <rFont val="Arial Black"/>
        <family val="2"/>
      </rPr>
      <t xml:space="preserve">Pay Drawn Particulars </t>
    </r>
    <r>
      <rPr>
        <b/>
        <sz val="16"/>
        <rFont val="Arial Black"/>
        <family val="2"/>
      </rPr>
      <t xml:space="preserve">இல் திருத்தம் உள்ள கட்டங்களில் மட்டும் 
</t>
    </r>
    <r>
      <rPr>
        <b/>
        <sz val="18"/>
        <rFont val="Arial Black"/>
        <family val="2"/>
      </rPr>
      <t xml:space="preserve">Entry </t>
    </r>
    <r>
      <rPr>
        <b/>
        <sz val="16"/>
        <rFont val="Arial Black"/>
        <family val="2"/>
      </rPr>
      <t xml:space="preserve">செய்யவும். மற்ற கட்டங்களை காலியாக விடவும். </t>
    </r>
  </si>
  <si>
    <t>Total Principal  (12 Month)</t>
  </si>
  <si>
    <t>Total Interest  (12 Month)</t>
  </si>
  <si>
    <t>OLD REGIME</t>
  </si>
  <si>
    <t xml:space="preserve">LESS : </t>
  </si>
  <si>
    <t>Allowing Exemption and Relief</t>
  </si>
  <si>
    <t>Standard Deductions U/s 16 (ia)</t>
  </si>
  <si>
    <t>Professional Tax U/s 16 (iii)</t>
  </si>
  <si>
    <t xml:space="preserve">Conveyance Allowance Exemption U/s 10 (14) </t>
  </si>
  <si>
    <t>Hosing Loan Interest U/s 24 (b) (Max. 2,00,000)</t>
  </si>
  <si>
    <t>Salary after allowing Exemption and Relief</t>
  </si>
  <si>
    <t xml:space="preserve">ADD :   </t>
  </si>
  <si>
    <t xml:space="preserve">Income from House Property    </t>
  </si>
  <si>
    <t>Income from Savings Bank Interest</t>
  </si>
  <si>
    <t>Gross Income from all Sources</t>
  </si>
  <si>
    <t>Total Income after allowing Direct Deduction</t>
  </si>
  <si>
    <t xml:space="preserve">CPS / GPF </t>
  </si>
  <si>
    <t>SPF / FBF</t>
  </si>
  <si>
    <t xml:space="preserve">(i) </t>
  </si>
  <si>
    <t>Taxable Income (Rounded off the nearest Ten Rupee)</t>
  </si>
  <si>
    <t xml:space="preserve">Upto Rs.2,50,000/-     </t>
  </si>
  <si>
    <t xml:space="preserve">Nil </t>
  </si>
  <si>
    <t xml:space="preserve">Rs.2,50,001 to 5,00,000/-    </t>
  </si>
  <si>
    <t xml:space="preserve">Rs.5,00,001 to 10,00,000/-   </t>
  </si>
  <si>
    <t xml:space="preserve">Rs.10,00,001 and Above  </t>
  </si>
  <si>
    <t>ADD : Health and Educational Cess 4%</t>
  </si>
  <si>
    <t>1)</t>
  </si>
  <si>
    <t>2)</t>
  </si>
  <si>
    <t>Head of Office (with seal)</t>
  </si>
  <si>
    <r>
      <t xml:space="preserve">Prepared By - A. ARIVAZHAGAN, PG TEACHER, GBHSS THIMIRI, RNIPET DISTRICT, CELL - </t>
    </r>
    <r>
      <rPr>
        <b/>
        <sz val="9"/>
        <color theme="1"/>
        <rFont val="Arial"/>
        <family val="2"/>
      </rPr>
      <t>9944573722</t>
    </r>
  </si>
  <si>
    <t>Balance Income Tax and IT Cess</t>
  </si>
  <si>
    <t xml:space="preserve"> </t>
  </si>
  <si>
    <t>PARTICULARS OF LIFE INSURANCE PREMIUM PAID</t>
  </si>
  <si>
    <t>Policy No.</t>
  </si>
  <si>
    <t>Total</t>
  </si>
  <si>
    <t>Post Office</t>
  </si>
  <si>
    <t>Date of Purchase</t>
  </si>
  <si>
    <t>NSC Number</t>
  </si>
  <si>
    <t xml:space="preserve">Amount </t>
  </si>
  <si>
    <t>PARTICULARS OF TUITION FEES PAID</t>
  </si>
  <si>
    <t>Name of the Child</t>
  </si>
  <si>
    <t>ADVANCE TAX AND SELF ASSESSMENT TAX PAID</t>
  </si>
  <si>
    <t>Repayment of Housing Loan Principal</t>
  </si>
  <si>
    <t xml:space="preserve">Marginal Relife U/s 87A (Amendment) (7,00,001 to 7,22,221) </t>
  </si>
  <si>
    <t xml:space="preserve">Tax after Rebate and Marginal Relife (From 7,22,222) </t>
  </si>
  <si>
    <t>SEL / SPL GR. Added Month</t>
  </si>
  <si>
    <t>ANNUAL PREMIUM + GST</t>
  </si>
  <si>
    <t>Professional Tax (1+2)</t>
  </si>
  <si>
    <t>SUM ASSURED</t>
  </si>
  <si>
    <t>House Rent Allowance (HRA) Exemption U/s 10 (13A)</t>
  </si>
  <si>
    <t xml:space="preserve">Income from Any Other Sources    </t>
  </si>
  <si>
    <t xml:space="preserve">ADD : Income from Other Sources   </t>
  </si>
  <si>
    <t>3)</t>
  </si>
  <si>
    <t>Certified  that  I  am  occupying  a  rental  house  and  paying  monthly  rent  of  Rs.</t>
  </si>
  <si>
    <t>Certified  that  I  am  paying  a  sum  of   Rs.</t>
  </si>
  <si>
    <t>PLI / LIC</t>
  </si>
  <si>
    <t>HOME LOAN (SALARY &amp; SELF)</t>
  </si>
  <si>
    <t xml:space="preserve">Financial Year 2024 - 2025             (OLD REGIME)            Assessment Year 2025 - 2026 </t>
  </si>
  <si>
    <t xml:space="preserve">Financial Year 2024 - 2025            (NEW REGIME)        Assessment Year 2025 - 2026 </t>
  </si>
  <si>
    <t xml:space="preserve">House Rent  (1 Month) </t>
  </si>
  <si>
    <t>Salary after Allowing Exemption and Relief</t>
  </si>
  <si>
    <t>LESS : Tax Deducted from Salary (TDS) with Cess</t>
  </si>
  <si>
    <t>LESS : Advance Tax / Self Assessment Tax with Cess</t>
  </si>
  <si>
    <t>PPF / Post Office Schemes</t>
  </si>
  <si>
    <t>SL. No.</t>
  </si>
  <si>
    <t>DATE</t>
  </si>
  <si>
    <t>OFFICE</t>
  </si>
  <si>
    <t>NAME OF THE CHILD</t>
  </si>
  <si>
    <t>NAME OF THE INSTITUTION</t>
  </si>
  <si>
    <t>AMOUNT</t>
  </si>
  <si>
    <t>PARTICULARS OF NSC PAID</t>
  </si>
  <si>
    <t>ONLY  FOR  OLD  REGIME</t>
  </si>
  <si>
    <t>NSC NO.</t>
  </si>
  <si>
    <t>SAVINGS  AND  DEDUCTIONS  DETAIL  ONLY  FOR  OLD  REGIME</t>
  </si>
  <si>
    <r>
      <rPr>
        <b/>
        <sz val="12"/>
        <rFont val="Arial"/>
        <family val="2"/>
      </rPr>
      <t xml:space="preserve">HRA Changed Month / New HRA Amount 
Entry </t>
    </r>
    <r>
      <rPr>
        <b/>
        <sz val="11"/>
        <rFont val="Arial"/>
        <family val="2"/>
      </rPr>
      <t xml:space="preserve">செய்யவும். </t>
    </r>
  </si>
  <si>
    <r>
      <rPr>
        <b/>
        <sz val="12"/>
        <rFont val="Arial"/>
        <family val="2"/>
      </rPr>
      <t xml:space="preserve">Increment Added, Sel Gr. / Spl Gr. Added, DA Added and HRA Changed </t>
    </r>
    <r>
      <rPr>
        <b/>
        <sz val="11"/>
        <rFont val="Arial"/>
        <family val="2"/>
      </rPr>
      <t xml:space="preserve">
ஊதியத்தில் மாற்றம் செய்யப்பட்ட மாதத்தை எண்ணிலும் </t>
    </r>
    <r>
      <rPr>
        <b/>
        <sz val="12"/>
        <rFont val="Arial"/>
        <family val="2"/>
      </rPr>
      <t xml:space="preserve">/ New HRA Amount Entry </t>
    </r>
    <r>
      <rPr>
        <b/>
        <sz val="11"/>
        <rFont val="Arial"/>
        <family val="2"/>
      </rPr>
      <t xml:space="preserve">செய்யவும். </t>
    </r>
  </si>
  <si>
    <t xml:space="preserve">New HRA Amount </t>
  </si>
  <si>
    <t>DEDUCTIONS  FROM  SALARY</t>
  </si>
  <si>
    <t>POLICY NUMBER</t>
  </si>
  <si>
    <t>BSR CODE</t>
  </si>
  <si>
    <t>CHALLAN NUMBER</t>
  </si>
  <si>
    <t>TAX EXEMPTION</t>
  </si>
  <si>
    <t>ADVANCE TAX (SELF) For New Regime</t>
  </si>
  <si>
    <t>Total Advance Tax (or)
Self Assessment Tax</t>
  </si>
  <si>
    <r>
      <rPr>
        <b/>
        <sz val="12"/>
        <rFont val="Arial"/>
        <family val="2"/>
      </rPr>
      <t xml:space="preserve">Income Tax </t>
    </r>
    <r>
      <rPr>
        <b/>
        <sz val="11"/>
        <rFont val="Arial"/>
        <family val="2"/>
      </rPr>
      <t xml:space="preserve">சம்பளத்தில் பிடித்தம் இருந்தால் கீழே </t>
    </r>
    <r>
      <rPr>
        <b/>
        <sz val="12"/>
        <rFont val="Arial"/>
        <family val="2"/>
      </rPr>
      <t xml:space="preserve">Entry </t>
    </r>
    <r>
      <rPr>
        <b/>
        <sz val="11"/>
        <rFont val="Arial"/>
        <family val="2"/>
      </rPr>
      <t>செய்யவும்.</t>
    </r>
    <r>
      <rPr>
        <b/>
        <sz val="10"/>
        <rFont val="Arial"/>
        <family val="2"/>
      </rPr>
      <t xml:space="preserve"> 
</t>
    </r>
    <r>
      <rPr>
        <b/>
        <sz val="12"/>
        <rFont val="Arial"/>
        <family val="2"/>
      </rPr>
      <t xml:space="preserve">Advance Tax (Self) </t>
    </r>
    <r>
      <rPr>
        <b/>
        <sz val="11"/>
        <rFont val="Arial"/>
        <family val="2"/>
      </rPr>
      <t xml:space="preserve">எனில் கடைசி கட்டத்தில் </t>
    </r>
    <r>
      <rPr>
        <b/>
        <sz val="12"/>
        <rFont val="Arial"/>
        <family val="2"/>
      </rPr>
      <t xml:space="preserve">Entry </t>
    </r>
    <r>
      <rPr>
        <b/>
        <sz val="11"/>
        <rFont val="Arial"/>
        <family val="2"/>
      </rPr>
      <t xml:space="preserve">செய்யவும். </t>
    </r>
  </si>
  <si>
    <r>
      <rPr>
        <b/>
        <sz val="11"/>
        <rFont val="Arial"/>
        <family val="2"/>
      </rPr>
      <t xml:space="preserve">மஞ்சள் நிறமுள்ள கட்டத்தில் தங்கள் விவரங்களை பூர்த்தி செய்யவும். 
</t>
    </r>
    <r>
      <rPr>
        <b/>
        <sz val="12"/>
        <rFont val="Arial"/>
        <family val="2"/>
      </rPr>
      <t xml:space="preserve">Old Regime </t>
    </r>
    <r>
      <rPr>
        <b/>
        <sz val="11"/>
        <rFont val="Arial"/>
        <family val="2"/>
      </rPr>
      <t xml:space="preserve">க்கு கீழே உள்ள </t>
    </r>
    <r>
      <rPr>
        <b/>
        <sz val="12"/>
        <rFont val="Arial"/>
        <family val="2"/>
      </rPr>
      <t xml:space="preserve">Savings And Deductions </t>
    </r>
    <r>
      <rPr>
        <b/>
        <sz val="11"/>
        <rFont val="Arial"/>
        <family val="2"/>
      </rPr>
      <t xml:space="preserve">பூர்த்தி செய்யவும். </t>
    </r>
  </si>
  <si>
    <r>
      <t xml:space="preserve">Differently Abled Person Examption 
</t>
    </r>
    <r>
      <rPr>
        <b/>
        <sz val="12"/>
        <color theme="1"/>
        <rFont val="Arial"/>
        <family val="2"/>
      </rPr>
      <t xml:space="preserve">(40% to 79% - 75,000 </t>
    </r>
    <r>
      <rPr>
        <b/>
        <sz val="14"/>
        <color theme="1"/>
        <rFont val="Arial"/>
        <family val="2"/>
      </rPr>
      <t>/</t>
    </r>
    <r>
      <rPr>
        <b/>
        <sz val="12"/>
        <color theme="1"/>
        <rFont val="Arial"/>
        <family val="2"/>
      </rPr>
      <t xml:space="preserve"> Above 80% - 1,25,000)</t>
    </r>
  </si>
  <si>
    <t>Donation Paid U/s 80 G</t>
  </si>
  <si>
    <t>INCOME TAX CALCULATION FORM (FY 2024 - 25) OLD REGIME / NEW REGIME</t>
  </si>
  <si>
    <t>END  THE  NEW  REGIME</t>
  </si>
  <si>
    <t>Name of the Institution</t>
  </si>
  <si>
    <t>RECIEPT 
No. &amp; Date</t>
  </si>
  <si>
    <t xml:space="preserve">Receipt
No. &amp; Date </t>
  </si>
  <si>
    <t>BSR Code</t>
  </si>
  <si>
    <t>Date Of Deposit</t>
  </si>
  <si>
    <t>Challan Number</t>
  </si>
  <si>
    <t>Tax Paid Amount</t>
  </si>
  <si>
    <t xml:space="preserve">/ COUNTER SIGNED /       </t>
  </si>
  <si>
    <t>Annual Paid Amount
( Premium + GST )</t>
  </si>
  <si>
    <t>Tution Fees</t>
  </si>
  <si>
    <t>Company Name
PLI / LIC</t>
  </si>
  <si>
    <t>Sum Assured
(Insured Amount)</t>
  </si>
  <si>
    <t xml:space="preserve"> Certified that the details furnished above are true to the best of my knowledge.</t>
  </si>
  <si>
    <t>PARTICULARS OF TUITION FEES</t>
  </si>
  <si>
    <t>ADVANCE TAX AND SELF ASSESSMENT TAX</t>
  </si>
  <si>
    <t>PARTICULARS OF NSC</t>
  </si>
  <si>
    <t>PARTICULARS OF LIFE INSURANCE</t>
  </si>
  <si>
    <t xml:space="preserve">(a) Standard Deductions upto Rs. 75,000 U/s 16 (ia) </t>
  </si>
  <si>
    <t>NEW P2  AND  OLD P4  AS  SAME</t>
  </si>
  <si>
    <r>
      <rPr>
        <b/>
        <sz val="10"/>
        <color theme="1"/>
        <rFont val="Arial"/>
        <family val="2"/>
      </rPr>
      <t>Prepared</t>
    </r>
    <r>
      <rPr>
        <b/>
        <sz val="9"/>
        <color theme="1"/>
        <rFont val="Arial"/>
        <family val="2"/>
      </rPr>
      <t xml:space="preserve"> By - A. ARIVAZHAGAN, PG TEACHER, GBHSS THIMIRI, RNIPET DISTRICT, CELL - </t>
    </r>
    <r>
      <rPr>
        <b/>
        <sz val="10"/>
        <color theme="1"/>
        <rFont val="Arial"/>
        <family val="2"/>
      </rPr>
      <t>9944573722</t>
    </r>
  </si>
  <si>
    <t xml:space="preserve">Total Tax on Income  </t>
  </si>
  <si>
    <t xml:space="preserve">Total Tax on Taxable Income </t>
  </si>
  <si>
    <t xml:space="preserve">Tax on Income after Less Rebate </t>
  </si>
  <si>
    <t>Taxable Income after allowing Deductions on Savings</t>
  </si>
  <si>
    <r>
      <rPr>
        <b/>
        <sz val="11"/>
        <color theme="0"/>
        <rFont val="Arial"/>
        <family val="2"/>
      </rPr>
      <t xml:space="preserve">  Prepared By - A. ARIVAZHAGAN, PG TEACHER, GBHSS THIMIRI, RNIPET DISTRICT, CELL</t>
    </r>
    <r>
      <rPr>
        <b/>
        <sz val="12"/>
        <color theme="0"/>
        <rFont val="Arial"/>
        <family val="2"/>
      </rPr>
      <t xml:space="preserve"> - 9944573722</t>
    </r>
  </si>
  <si>
    <t>TAX PAID</t>
  </si>
  <si>
    <t>IT CESS</t>
  </si>
  <si>
    <t>(i)</t>
  </si>
  <si>
    <t>(ii)</t>
  </si>
  <si>
    <t xml:space="preserve">(iii) </t>
  </si>
  <si>
    <t>(iv)</t>
  </si>
  <si>
    <t>(v)</t>
  </si>
  <si>
    <t>(vi)</t>
  </si>
  <si>
    <t>(vii)</t>
  </si>
  <si>
    <t>(iii)</t>
  </si>
  <si>
    <t>Health Insurance and Medical Expenditure U/s 80 D</t>
  </si>
  <si>
    <t>Medical Expenditure on Senior Citizens (upto 50,000)</t>
  </si>
  <si>
    <t xml:space="preserve">Health Insurance on Parents as Senior Citizens (upto 25,000) </t>
  </si>
  <si>
    <t>10% of ( Basic Pay + DA )</t>
  </si>
  <si>
    <t>Difference ( a-b )</t>
  </si>
  <si>
    <t>Actual HRA Received</t>
  </si>
  <si>
    <t>Any other Income (FD Interest, Agricultural Income, etc.)</t>
  </si>
  <si>
    <t>Deductions U/s 80 C</t>
  </si>
  <si>
    <t xml:space="preserve">d) </t>
  </si>
  <si>
    <t>d)</t>
  </si>
  <si>
    <t>LESS : Tax Deducted from Salary (TDS)</t>
  </si>
  <si>
    <t>LESS : Advance Tax / Self Assessment Tax (including Cess)</t>
  </si>
  <si>
    <r>
      <t xml:space="preserve">Balance of Income Tax to be Deducted from Salary
</t>
    </r>
    <r>
      <rPr>
        <b/>
        <sz val="10"/>
        <rFont val="Arial"/>
        <family val="2"/>
      </rPr>
      <t>(Feb' 2025 Tax Deduction)</t>
    </r>
  </si>
  <si>
    <r>
      <t xml:space="preserve">LESS : Rebate U/S 87A  (Less Upto Rs.12,500) 
             </t>
    </r>
    <r>
      <rPr>
        <b/>
        <sz val="10"/>
        <rFont val="Arial"/>
        <family val="2"/>
      </rPr>
      <t xml:space="preserve">If Total Taxable Income does not Exceed Rs.5,00,000 </t>
    </r>
  </si>
  <si>
    <t>c)</t>
  </si>
  <si>
    <t>b)</t>
  </si>
  <si>
    <t>a)</t>
  </si>
  <si>
    <t>e)</t>
  </si>
  <si>
    <t>f)</t>
  </si>
  <si>
    <t>g)</t>
  </si>
  <si>
    <t>h)</t>
  </si>
  <si>
    <t>i)</t>
  </si>
  <si>
    <t>j)</t>
  </si>
  <si>
    <t>INCOME  TAX  CALCULATION  STATEMENT  2024 - 2025</t>
  </si>
  <si>
    <t>Preventive Health Checkup on Family Members (upto 5,000)</t>
  </si>
  <si>
    <t xml:space="preserve">Contribution to Certain Pension funds U/s 80 CCC </t>
  </si>
  <si>
    <t xml:space="preserve">(vi) </t>
  </si>
  <si>
    <t>(viii)</t>
  </si>
  <si>
    <t>(ix)</t>
  </si>
  <si>
    <t>(x)</t>
  </si>
  <si>
    <t xml:space="preserve">Deduction U/s 80 D (a+b+c+d) does not Exceed Rs. 50,000 </t>
  </si>
  <si>
    <t>Interest on Loan for Higher Education U/s 80 E</t>
  </si>
  <si>
    <t>Interest on Loan for Certain House Property U/s 80 EEA ( upto 50,000)</t>
  </si>
  <si>
    <t>Interest on deposits in Savings Bank  (upto 10,000) U/s 80 TTA</t>
  </si>
  <si>
    <t>Interest on deposits of Senior Citizen (upto 50,000) U/s 80 TTB</t>
  </si>
  <si>
    <t xml:space="preserve">Interest on Loan for Electric Vehicle U/s 80 EEB (upto 1,50,000) </t>
  </si>
  <si>
    <t>LIC / PLI Premium (Paid from Salary)</t>
  </si>
  <si>
    <t xml:space="preserve">PPF / RPF / Post Office Savings Schemes </t>
  </si>
  <si>
    <t>NSC Scheme Investment and Accured Interest</t>
  </si>
  <si>
    <t xml:space="preserve">Tution Fees (Two Child Only) </t>
  </si>
  <si>
    <t xml:space="preserve">Health Insurance (NHIS) Paid from Salary  (upto 25,000) </t>
  </si>
  <si>
    <t>House Rent Paid                                 12 X</t>
  </si>
  <si>
    <t>Medical Treatment to Dependant with Disability U/s 80 DD</t>
  </si>
  <si>
    <t>Health Insurance on himself or dependant (upto 25,000)</t>
  </si>
  <si>
    <t>Direct Deductions under Chapter VIA</t>
  </si>
  <si>
    <t xml:space="preserve">Medical Treatment to himself or dependant (upto 40,000) and 
Senior Citizen (upto 1,00,000) U/s 80 DDB </t>
  </si>
  <si>
    <t>Total Direct Deductions under Chapter VIA</t>
  </si>
  <si>
    <r>
      <rPr>
        <b/>
        <sz val="11"/>
        <color theme="0"/>
        <rFont val="Arial"/>
        <family val="2"/>
      </rPr>
      <t xml:space="preserve">Deductions Eligible </t>
    </r>
    <r>
      <rPr>
        <b/>
        <sz val="10"/>
        <color theme="0"/>
        <rFont val="Arial"/>
        <family val="2"/>
      </rPr>
      <t>இருந்தால் மஞ்சள் நிற 
கட்டத்தில் நீங்களே</t>
    </r>
    <r>
      <rPr>
        <b/>
        <sz val="11"/>
        <color theme="0"/>
        <rFont val="Arial"/>
        <family val="2"/>
      </rPr>
      <t xml:space="preserve"> Entry </t>
    </r>
    <r>
      <rPr>
        <b/>
        <sz val="10"/>
        <color theme="0"/>
        <rFont val="Arial"/>
        <family val="2"/>
      </rPr>
      <t>செய்யவும்.</t>
    </r>
  </si>
  <si>
    <r>
      <rPr>
        <b/>
        <sz val="11"/>
        <color theme="0"/>
        <rFont val="Arial"/>
        <family val="2"/>
      </rPr>
      <t xml:space="preserve">Income from Other Sources </t>
    </r>
    <r>
      <rPr>
        <b/>
        <sz val="10"/>
        <color theme="0"/>
        <rFont val="Arial"/>
        <family val="2"/>
      </rPr>
      <t>இருந்தால் மஞ்சள் நிற கட்டத்தில் நீங்களே</t>
    </r>
    <r>
      <rPr>
        <b/>
        <sz val="11"/>
        <color theme="0"/>
        <rFont val="Arial"/>
        <family val="2"/>
      </rPr>
      <t xml:space="preserve"> Entry </t>
    </r>
    <r>
      <rPr>
        <b/>
        <sz val="10"/>
        <color theme="0"/>
        <rFont val="Arial"/>
        <family val="2"/>
      </rPr>
      <t>செய்யவும்.</t>
    </r>
  </si>
  <si>
    <t>Donation Paid to Government / Charitable Institution U/s 80 G</t>
  </si>
  <si>
    <t>ADVANCE TAX For Old Regime இங்கு Entry செய்ய வேண்டாம். 
கீழே செல்லவும். உரிய கட்டதில் மட்டும் Entry செய்யவும்.</t>
  </si>
  <si>
    <t>HRA Exempted whichever is low (c) or (d) or (e)</t>
  </si>
  <si>
    <r>
      <rPr>
        <b/>
        <sz val="11"/>
        <color theme="0"/>
        <rFont val="Arial"/>
        <family val="2"/>
      </rPr>
      <t xml:space="preserve">Hill Allownce Exemption </t>
    </r>
    <r>
      <rPr>
        <b/>
        <sz val="10"/>
        <color theme="0"/>
        <rFont val="Arial"/>
        <family val="2"/>
      </rPr>
      <t>இருந்தால் மஞ்சள் நிற கட்டத்தில் நீங்களே</t>
    </r>
    <r>
      <rPr>
        <b/>
        <sz val="11"/>
        <color theme="0"/>
        <rFont val="Arial"/>
        <family val="2"/>
      </rPr>
      <t xml:space="preserve"> Entry </t>
    </r>
    <r>
      <rPr>
        <b/>
        <sz val="10"/>
        <color theme="0"/>
        <rFont val="Arial"/>
        <family val="2"/>
      </rPr>
      <t>செய்யவும்.</t>
    </r>
  </si>
  <si>
    <t xml:space="preserve">Deduct HRA - 1 / Home Loan Interest - 2 </t>
  </si>
  <si>
    <r>
      <t xml:space="preserve">வேறு ஏதேனும் </t>
    </r>
    <r>
      <rPr>
        <b/>
        <sz val="12"/>
        <rFont val="Arial"/>
        <family val="2"/>
      </rPr>
      <t>Allowance</t>
    </r>
    <r>
      <rPr>
        <b/>
        <sz val="11"/>
        <rFont val="Latha"/>
        <family val="2"/>
      </rPr>
      <t xml:space="preserve"> உள்ளவர்கள் </t>
    </r>
    <r>
      <rPr>
        <b/>
        <sz val="12"/>
        <rFont val="Arial"/>
        <family val="2"/>
      </rPr>
      <t xml:space="preserve">CCA / Oth. A / Spl. A / </t>
    </r>
    <r>
      <rPr>
        <b/>
        <sz val="11"/>
        <rFont val="Latha"/>
        <family val="2"/>
      </rPr>
      <t xml:space="preserve">இதில் ஏதேனும் ஒன்றில் தலைப்பை மாற்றிய பிறகு அதற்கு கீழ் </t>
    </r>
    <r>
      <rPr>
        <b/>
        <sz val="12"/>
        <rFont val="Arial"/>
        <family val="2"/>
      </rPr>
      <t xml:space="preserve">Entry </t>
    </r>
    <r>
      <rPr>
        <b/>
        <sz val="11"/>
        <rFont val="Latha"/>
        <family val="2"/>
      </rPr>
      <t xml:space="preserve">செய்யவும்.
</t>
    </r>
    <r>
      <rPr>
        <b/>
        <sz val="12"/>
        <rFont val="Arial"/>
        <family val="2"/>
      </rPr>
      <t xml:space="preserve">HRA, Hill Allowance Examption </t>
    </r>
    <r>
      <rPr>
        <b/>
        <sz val="11"/>
        <rFont val="Latha"/>
        <family val="2"/>
      </rPr>
      <t xml:space="preserve">உண்டு </t>
    </r>
    <r>
      <rPr>
        <b/>
        <sz val="12"/>
        <rFont val="Arial"/>
        <family val="2"/>
      </rPr>
      <t xml:space="preserve">(OLD REGIME), </t>
    </r>
    <r>
      <rPr>
        <b/>
        <sz val="11"/>
        <rFont val="Latha"/>
        <family val="2"/>
      </rPr>
      <t xml:space="preserve">என்பதால் இவ்விரு தலைப்பின் கீழ் வேறு எந்த </t>
    </r>
    <r>
      <rPr>
        <b/>
        <sz val="12"/>
        <rFont val="Arial"/>
        <family val="2"/>
      </rPr>
      <t xml:space="preserve">Allowance </t>
    </r>
    <r>
      <rPr>
        <b/>
        <sz val="11"/>
        <rFont val="Latha"/>
        <family val="2"/>
      </rPr>
      <t xml:space="preserve">யும் </t>
    </r>
    <r>
      <rPr>
        <b/>
        <sz val="12"/>
        <rFont val="Arial"/>
        <family val="2"/>
      </rPr>
      <t xml:space="preserve">Entry </t>
    </r>
    <r>
      <rPr>
        <b/>
        <sz val="11"/>
        <rFont val="Latha"/>
        <family val="2"/>
      </rPr>
      <t xml:space="preserve">செய்ய வேண்டாம்.
</t>
    </r>
    <r>
      <rPr>
        <b/>
        <sz val="12"/>
        <rFont val="Arial"/>
        <family val="2"/>
      </rPr>
      <t xml:space="preserve">PLI / LIC </t>
    </r>
    <r>
      <rPr>
        <b/>
        <sz val="11"/>
        <rFont val="Latha"/>
        <family val="2"/>
      </rPr>
      <t xml:space="preserve">தலைப்பை மாற்றிக் கொள்ளலாம். இரண்டும் செலுத்தினால் தலைப்பை மாற்றாமல் </t>
    </r>
    <r>
      <rPr>
        <b/>
        <sz val="12"/>
        <rFont val="Arial"/>
        <family val="2"/>
      </rPr>
      <t xml:space="preserve">PLI, LIC </t>
    </r>
    <r>
      <rPr>
        <b/>
        <sz val="11"/>
        <rFont val="Latha"/>
        <family val="2"/>
      </rPr>
      <t xml:space="preserve">இரண்டின் </t>
    </r>
    <r>
      <rPr>
        <b/>
        <sz val="12"/>
        <rFont val="Arial"/>
        <family val="2"/>
      </rPr>
      <t xml:space="preserve">Total (Premium + GST) Entry </t>
    </r>
    <r>
      <rPr>
        <b/>
        <sz val="11"/>
        <rFont val="Latha"/>
        <family val="2"/>
      </rPr>
      <t xml:space="preserve">செய்யவும்.
</t>
    </r>
    <r>
      <rPr>
        <b/>
        <sz val="12"/>
        <rFont val="Arial"/>
        <family val="2"/>
      </rPr>
      <t xml:space="preserve">House Building Loan (HBL) </t>
    </r>
    <r>
      <rPr>
        <b/>
        <sz val="11"/>
        <rFont val="Latha"/>
        <family val="2"/>
      </rPr>
      <t xml:space="preserve">செலுத்தினால் </t>
    </r>
    <r>
      <rPr>
        <b/>
        <sz val="12"/>
        <rFont val="Arial"/>
        <family val="2"/>
      </rPr>
      <t xml:space="preserve">Total (Principal + Interest) Entry </t>
    </r>
    <r>
      <rPr>
        <b/>
        <sz val="11"/>
        <rFont val="Latha"/>
        <family val="2"/>
      </rPr>
      <t>செய்யவும்.</t>
    </r>
  </si>
  <si>
    <r>
      <t xml:space="preserve">IF Any Changes
Pay Drawn Particulars
</t>
    </r>
    <r>
      <rPr>
        <b/>
        <sz val="20"/>
        <color theme="0"/>
        <rFont val="Arial Black"/>
        <family val="2"/>
      </rPr>
      <t xml:space="preserve">(NEW P2 </t>
    </r>
    <r>
      <rPr>
        <b/>
        <sz val="22"/>
        <color theme="0"/>
        <rFont val="Arial Black"/>
        <family val="2"/>
      </rPr>
      <t>/</t>
    </r>
    <r>
      <rPr>
        <b/>
        <sz val="20"/>
        <color theme="0"/>
        <rFont val="Arial Black"/>
        <family val="2"/>
      </rPr>
      <t xml:space="preserve"> OLD P4)</t>
    </r>
  </si>
  <si>
    <r>
      <t xml:space="preserve">முதலில் </t>
    </r>
    <r>
      <rPr>
        <b/>
        <sz val="16"/>
        <color theme="0"/>
        <rFont val="Arial Black"/>
        <family val="2"/>
      </rPr>
      <t xml:space="preserve">NEW P2 / OLD P4 </t>
    </r>
    <r>
      <rPr>
        <b/>
        <sz val="14"/>
        <color theme="0"/>
        <rFont val="Arial Black"/>
        <family val="2"/>
      </rPr>
      <t xml:space="preserve">இல் </t>
    </r>
    <r>
      <rPr>
        <b/>
        <sz val="16"/>
        <color theme="0"/>
        <rFont val="Arial Black"/>
        <family val="2"/>
      </rPr>
      <t xml:space="preserve">Pay Drawn </t>
    </r>
    <r>
      <rPr>
        <b/>
        <sz val="14"/>
        <color theme="0"/>
        <rFont val="Arial Black"/>
        <family val="2"/>
      </rPr>
      <t>பார்க்கவும். 
அதில் திருத்தம் இருந்தால் மட்டும் கீழே செல்லவும்.</t>
    </r>
  </si>
  <si>
    <r>
      <t xml:space="preserve">2025 - 2026 </t>
    </r>
    <r>
      <rPr>
        <b/>
        <sz val="14"/>
        <rFont val="Arial Black"/>
        <family val="2"/>
      </rPr>
      <t>(</t>
    </r>
    <r>
      <rPr>
        <b/>
        <sz val="16"/>
        <rFont val="Arial Black"/>
        <family val="2"/>
      </rPr>
      <t>Old / New R</t>
    </r>
    <r>
      <rPr>
        <b/>
        <sz val="14"/>
        <rFont val="Arial Black"/>
        <family val="2"/>
      </rPr>
      <t>egime)</t>
    </r>
  </si>
  <si>
    <r>
      <rPr>
        <b/>
        <sz val="14"/>
        <color rgb="FFFF0000"/>
        <rFont val="Arial"/>
        <family val="2"/>
      </rPr>
      <t xml:space="preserve">Latest Version Download </t>
    </r>
    <r>
      <rPr>
        <b/>
        <sz val="12"/>
        <color rgb="FFFF0000"/>
        <rFont val="Arial"/>
        <family val="2"/>
      </rPr>
      <t xml:space="preserve">செய்ய கீழே உள்ள </t>
    </r>
    <r>
      <rPr>
        <b/>
        <sz val="14"/>
        <color rgb="FFFF0000"/>
        <rFont val="Arial"/>
        <family val="2"/>
      </rPr>
      <t xml:space="preserve">Website Link </t>
    </r>
    <r>
      <rPr>
        <b/>
        <sz val="12"/>
        <color rgb="FFFF0000"/>
        <rFont val="Arial"/>
        <family val="2"/>
      </rPr>
      <t>இல் சென்று பார்க்கவும். 
ஏதேனும் சந்தேகம் இருந்தால் கீழே உள்ள எண்ணுக்கு வாட்ஸ்அப் மெசேஜ் அனுப்பவும்.</t>
    </r>
  </si>
  <si>
    <r>
      <rPr>
        <b/>
        <sz val="14"/>
        <color rgb="FFFF0000"/>
        <rFont val="Arial"/>
        <family val="2"/>
      </rPr>
      <t xml:space="preserve">Latest Version Download </t>
    </r>
    <r>
      <rPr>
        <b/>
        <sz val="12"/>
        <color rgb="FFFF0000"/>
        <rFont val="Arial"/>
        <family val="2"/>
      </rPr>
      <t>செய்ய</t>
    </r>
    <r>
      <rPr>
        <b/>
        <sz val="14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 xml:space="preserve">கீழே உள்ள </t>
    </r>
    <r>
      <rPr>
        <b/>
        <sz val="14"/>
        <color rgb="FFFF0000"/>
        <rFont val="Arial"/>
        <family val="2"/>
      </rPr>
      <t xml:space="preserve">Website Link </t>
    </r>
    <r>
      <rPr>
        <b/>
        <sz val="12"/>
        <color rgb="FFFF0000"/>
        <rFont val="Arial"/>
        <family val="2"/>
      </rPr>
      <t>இல் சென்று பார்க்கவும். 
ஏதேனும் சந்தேகம் இருந்தால் கீழே உள்ள எண்ணுக்கு வாட்ஸ்அப் மெசேஜ் அனுப்பவும்.</t>
    </r>
  </si>
  <si>
    <t>Cess</t>
  </si>
  <si>
    <t>LIC / PLI / RPLI Premium (Paid by Self)</t>
  </si>
  <si>
    <t xml:space="preserve">Total Deduction U/s 80 C + 80 CCC + 80 CCD (1) Max. 1,50,000 </t>
  </si>
  <si>
    <t xml:space="preserve">Deductions on Savings under Chapter VIA </t>
  </si>
  <si>
    <t>Arrears</t>
  </si>
  <si>
    <t>IT Tax</t>
  </si>
  <si>
    <r>
      <rPr>
        <b/>
        <sz val="11"/>
        <color theme="0"/>
        <rFont val="Arial"/>
        <family val="2"/>
      </rPr>
      <t xml:space="preserve">80 CCD(1B) Deduction 50,000 </t>
    </r>
    <r>
      <rPr>
        <b/>
        <sz val="10"/>
        <color theme="0"/>
        <rFont val="Arial"/>
        <family val="2"/>
      </rPr>
      <t>இருந்தால் மஞ்சள் நிற கட்டத்தில் நீங்களே</t>
    </r>
    <r>
      <rPr>
        <b/>
        <sz val="11"/>
        <color theme="0"/>
        <rFont val="Arial"/>
        <family val="2"/>
      </rPr>
      <t xml:space="preserve"> Entry </t>
    </r>
    <r>
      <rPr>
        <b/>
        <sz val="10"/>
        <color theme="0"/>
        <rFont val="Arial"/>
        <family val="2"/>
      </rPr>
      <t>செய்யவும்.</t>
    </r>
  </si>
  <si>
    <t xml:space="preserve">Subscription to Certain Equity Shares or Debentures </t>
  </si>
  <si>
    <t>Contribution to Pension Scheme of Central Govt U/s 80 CCD (1)</t>
  </si>
  <si>
    <t xml:space="preserve">Hills Allowance Exemption U/s 10 (14) (ii) 
(Exemption Varies from Min. 300 to Max. 7,000 Per Month) 
</t>
  </si>
  <si>
    <t xml:space="preserve">Other Exemption </t>
  </si>
  <si>
    <t>Investment of Term Deposit in Bank (Period 5 Yrs or More)</t>
  </si>
  <si>
    <t xml:space="preserve">Contributio to Pension Scheme of Central Government 
Deduction U/s 80 CCD (1B) Max. 50,000 </t>
  </si>
  <si>
    <t>CPS Arr</t>
  </si>
  <si>
    <t>DA Arr</t>
  </si>
  <si>
    <t>DA 1 Hike - 46% to 50%</t>
  </si>
  <si>
    <t>DA 2 Hike - 50% to 53%</t>
  </si>
  <si>
    <t>EARNINGS  (7th Pay Commission)</t>
  </si>
  <si>
    <t>EARNINGS (March 2024)</t>
  </si>
  <si>
    <r>
      <rPr>
        <b/>
        <sz val="28"/>
        <rFont val="Arial Black"/>
        <family val="2"/>
      </rPr>
      <t>7</t>
    </r>
    <r>
      <rPr>
        <b/>
        <sz val="22"/>
        <rFont val="Arial Black"/>
        <family val="2"/>
      </rPr>
      <t>th PAY COMMISSION</t>
    </r>
  </si>
  <si>
    <t>DEDUCTIONS (March 2024)</t>
  </si>
  <si>
    <r>
      <t xml:space="preserve">DA - 1 
</t>
    </r>
    <r>
      <rPr>
        <b/>
        <sz val="14"/>
        <color theme="0"/>
        <rFont val="Arial"/>
        <family val="2"/>
      </rPr>
      <t>(46-50%)</t>
    </r>
  </si>
  <si>
    <r>
      <t xml:space="preserve">DA - 2 
</t>
    </r>
    <r>
      <rPr>
        <b/>
        <sz val="14"/>
        <color theme="0"/>
        <rFont val="Arial"/>
        <family val="2"/>
      </rPr>
      <t>(50-53%)</t>
    </r>
  </si>
  <si>
    <t>HRA Allowed in Basic - 40% (or) 50%</t>
  </si>
  <si>
    <r>
      <t xml:space="preserve">Private Health Insurence </t>
    </r>
    <r>
      <rPr>
        <b/>
        <sz val="16"/>
        <rFont val="Arial"/>
        <family val="2"/>
      </rPr>
      <t>/</t>
    </r>
    <r>
      <rPr>
        <b/>
        <sz val="14"/>
        <rFont val="Arial"/>
        <family val="2"/>
      </rPr>
      <t xml:space="preserve"> Insurance to Loan U/s 80 D </t>
    </r>
    <r>
      <rPr>
        <b/>
        <sz val="13"/>
        <rFont val="Arial"/>
        <family val="2"/>
      </rPr>
      <t>(Non Refundable)</t>
    </r>
  </si>
  <si>
    <t xml:space="preserve">Differently Abled Person Exemption U/s 80 U
(40% to 79% = 75,000, Above 80% = 1,25,000) </t>
  </si>
  <si>
    <t>the policies are kept alive.</t>
  </si>
  <si>
    <t xml:space="preserve">towards  Life  Insurance  Premium  and </t>
  </si>
  <si>
    <t>40% or 50% of the salary ( Basic Pay + DA )</t>
  </si>
  <si>
    <r>
      <rPr>
        <b/>
        <sz val="16"/>
        <color rgb="FF000099"/>
        <rFont val="Arial"/>
        <family val="2"/>
      </rPr>
      <t>Pay Drawn Changes / CPS Changes / 
Allowance / New Post / Less Salary
(IF ANY CHANGES Go to ADJUST)</t>
    </r>
    <r>
      <rPr>
        <b/>
        <sz val="18"/>
        <color rgb="FFFF0000"/>
        <rFont val="Arial"/>
        <family val="2"/>
      </rPr>
      <t xml:space="preserve">
</t>
    </r>
    <r>
      <rPr>
        <b/>
        <sz val="14"/>
        <color rgb="FFFF0000"/>
        <rFont val="Arial"/>
        <family val="2"/>
      </rPr>
      <t xml:space="preserve">ADJUST Page </t>
    </r>
    <r>
      <rPr>
        <b/>
        <sz val="12"/>
        <color rgb="FFFF0000"/>
        <rFont val="Arial"/>
        <family val="2"/>
      </rPr>
      <t>இல் தேவையான 
கட்டத்தை மட்டும் நிரப்பவும். 
மற்ற கட்டங்களை காலியாக விடவும்.</t>
    </r>
  </si>
  <si>
    <r>
      <rPr>
        <b/>
        <sz val="12"/>
        <rFont val="Calibri"/>
        <family val="2"/>
        <scheme val="minor"/>
      </rPr>
      <t xml:space="preserve">DA Arrears </t>
    </r>
    <r>
      <rPr>
        <b/>
        <sz val="11"/>
        <rFont val="Calibri"/>
        <family val="2"/>
        <scheme val="minor"/>
      </rPr>
      <t xml:space="preserve">திருத்தம் கீழே </t>
    </r>
    <r>
      <rPr>
        <b/>
        <sz val="12"/>
        <rFont val="Calibri"/>
        <family val="2"/>
        <scheme val="minor"/>
      </rPr>
      <t xml:space="preserve">EDIT </t>
    </r>
    <r>
      <rPr>
        <b/>
        <sz val="11"/>
        <rFont val="Calibri"/>
        <family val="2"/>
        <scheme val="minor"/>
      </rPr>
      <t xml:space="preserve">செய்து கொள்ளவும். </t>
    </r>
  </si>
  <si>
    <r>
      <rPr>
        <b/>
        <sz val="20"/>
        <color rgb="FFFF0000"/>
        <rFont val="Arial Black"/>
        <family val="2"/>
      </rPr>
      <t>Ver 2.0</t>
    </r>
    <r>
      <rPr>
        <b/>
        <sz val="18"/>
        <color rgb="FFFF0000"/>
        <rFont val="Arial Black"/>
        <family val="2"/>
      </rPr>
      <t xml:space="preserve"> (31/12/2024)</t>
    </r>
  </si>
</sst>
</file>

<file path=xl/styles.xml><?xml version="1.0" encoding="utf-8"?>
<styleSheet xmlns="http://schemas.openxmlformats.org/spreadsheetml/2006/main">
  <fonts count="79"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u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b/>
      <sz val="12"/>
      <color rgb="FF00FF00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 Black"/>
      <family val="2"/>
    </font>
    <font>
      <b/>
      <sz val="18"/>
      <color rgb="FF0033CC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rgb="FFC00000"/>
      <name val="Arial"/>
      <family val="2"/>
    </font>
    <font>
      <b/>
      <sz val="18"/>
      <color theme="0"/>
      <name val="Arial"/>
      <family val="2"/>
    </font>
    <font>
      <b/>
      <sz val="15"/>
      <color theme="0"/>
      <name val="Arial"/>
      <family val="2"/>
    </font>
    <font>
      <b/>
      <sz val="11"/>
      <name val="Latha"/>
      <family val="2"/>
    </font>
    <font>
      <b/>
      <sz val="11"/>
      <color theme="0"/>
      <name val="Arial"/>
      <family val="2"/>
    </font>
    <font>
      <b/>
      <sz val="20"/>
      <color theme="0"/>
      <name val="Arial Black"/>
      <family val="2"/>
    </font>
    <font>
      <b/>
      <sz val="16"/>
      <color theme="0"/>
      <name val="Arial Black"/>
      <family val="2"/>
    </font>
    <font>
      <b/>
      <sz val="24"/>
      <color rgb="FF000099"/>
      <name val="Arial"/>
      <family val="2"/>
    </font>
    <font>
      <b/>
      <sz val="18"/>
      <color rgb="FF000099"/>
      <name val="Arial"/>
      <family val="2"/>
    </font>
    <font>
      <b/>
      <sz val="14"/>
      <color theme="0"/>
      <name val="Calibri"/>
      <family val="2"/>
      <scheme val="minor"/>
    </font>
    <font>
      <b/>
      <sz val="18"/>
      <color theme="0"/>
      <name val="Arial Black"/>
      <family val="2"/>
    </font>
    <font>
      <b/>
      <sz val="22"/>
      <color rgb="FF000099"/>
      <name val="Arial"/>
      <family val="2"/>
    </font>
    <font>
      <b/>
      <sz val="16"/>
      <name val="Latha"/>
      <family val="2"/>
    </font>
    <font>
      <b/>
      <sz val="16"/>
      <name val="Arial Black"/>
      <family val="2"/>
    </font>
    <font>
      <b/>
      <sz val="18"/>
      <name val="Arial Black"/>
      <family val="2"/>
    </font>
    <font>
      <b/>
      <sz val="18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3"/>
      <name val="Arial"/>
      <family val="2"/>
    </font>
    <font>
      <sz val="11"/>
      <color theme="0"/>
      <name val="Calibri"/>
      <family val="2"/>
      <scheme val="minor"/>
    </font>
    <font>
      <b/>
      <sz val="20"/>
      <color rgb="FF66FFFF"/>
      <name val="Arial Rounded MT Bold"/>
      <family val="2"/>
    </font>
    <font>
      <b/>
      <sz val="16"/>
      <color theme="0"/>
      <name val="Eras Bold ITC"/>
      <family val="2"/>
    </font>
    <font>
      <b/>
      <sz val="20"/>
      <color theme="0"/>
      <name val="Arial Rounded MT Bold"/>
      <family val="2"/>
    </font>
    <font>
      <b/>
      <sz val="12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color rgb="FF000099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8"/>
      <color rgb="FFFF0000"/>
      <name val="Arial Black"/>
      <family val="2"/>
    </font>
    <font>
      <b/>
      <sz val="18"/>
      <color theme="1"/>
      <name val="Arial"/>
      <family val="2"/>
    </font>
    <font>
      <b/>
      <sz val="1"/>
      <color theme="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20"/>
      <color rgb="FFFF0000"/>
      <name val="Arial Black"/>
      <family val="2"/>
    </font>
    <font>
      <b/>
      <sz val="22"/>
      <color theme="0"/>
      <name val="Arial Black"/>
      <family val="2"/>
    </font>
    <font>
      <b/>
      <sz val="14"/>
      <name val="Arial Black"/>
      <family val="2"/>
    </font>
    <font>
      <b/>
      <sz val="22"/>
      <name val="Arial Black"/>
      <family val="2"/>
    </font>
    <font>
      <b/>
      <sz val="28"/>
      <name val="Arial Black"/>
      <family val="2"/>
    </font>
    <font>
      <b/>
      <sz val="14"/>
      <name val="Calibri"/>
      <family val="2"/>
      <scheme val="minor"/>
    </font>
    <font>
      <b/>
      <sz val="20"/>
      <name val="Arial"/>
      <family val="2"/>
    </font>
    <font>
      <b/>
      <sz val="16"/>
      <color rgb="FF000099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66CC"/>
      </patternFill>
    </fill>
    <fill>
      <patternFill patternType="solid">
        <fgColor rgb="FF66FFFF"/>
        <bgColor rgb="FF99CCFF"/>
      </patternFill>
    </fill>
    <fill>
      <patternFill patternType="solid">
        <fgColor rgb="FFFFFF00"/>
        <bgColor rgb="FF99CCFF"/>
      </patternFill>
    </fill>
    <fill>
      <patternFill patternType="solid">
        <fgColor rgb="FFFFFF0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CC99"/>
      </patternFill>
    </fill>
    <fill>
      <patternFill patternType="solid">
        <fgColor rgb="FFFFFF00"/>
        <bgColor rgb="FFFFFFCC"/>
      </patternFill>
    </fill>
    <fill>
      <patternFill patternType="solid">
        <fgColor rgb="FF66FFFF"/>
        <bgColor rgb="FFFFFFCC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rgb="FFFF9900"/>
      </patternFill>
    </fill>
    <fill>
      <patternFill patternType="solid">
        <fgColor rgb="FFFFFF00"/>
        <bgColor rgb="FF00FF00"/>
      </patternFill>
    </fill>
    <fill>
      <patternFill patternType="solid">
        <fgColor rgb="FFFFFF00"/>
        <bgColor rgb="FF808080"/>
      </patternFill>
    </fill>
    <fill>
      <patternFill patternType="solid">
        <fgColor rgb="FF66FFFF"/>
        <bgColor indexed="64"/>
      </patternFill>
    </fill>
    <fill>
      <patternFill patternType="solid">
        <fgColor rgb="FF66FFFF"/>
        <bgColor rgb="FFFFFFFF"/>
      </patternFill>
    </fill>
    <fill>
      <patternFill patternType="solid">
        <fgColor rgb="FFFFFF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99"/>
        <bgColor rgb="FFFFFF0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rgb="FFFFFFFF"/>
      </patternFill>
    </fill>
    <fill>
      <patternFill patternType="solid">
        <fgColor rgb="FF0000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rgb="FF333333"/>
      </patternFill>
    </fill>
    <fill>
      <patternFill patternType="solid">
        <fgColor rgb="FF00FF00"/>
        <bgColor rgb="FF800000"/>
      </patternFill>
    </fill>
    <fill>
      <patternFill patternType="solid">
        <fgColor rgb="FF002060"/>
        <bgColor rgb="FFFF0000"/>
      </patternFill>
    </fill>
    <fill>
      <patternFill patternType="solid">
        <fgColor rgb="FF002060"/>
        <bgColor rgb="FFFFCC99"/>
      </patternFill>
    </fill>
    <fill>
      <patternFill patternType="solid">
        <fgColor rgb="FF66FFFF"/>
        <bgColor rgb="FFFF808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rgb="FFFFFFFF"/>
      </patternFill>
    </fill>
    <fill>
      <patternFill patternType="solid">
        <fgColor rgb="FFC00000"/>
        <bgColor rgb="FFFFFFFF"/>
      </patternFill>
    </fill>
    <fill>
      <patternFill patternType="solid">
        <fgColor rgb="FF66FFFF"/>
        <bgColor rgb="FFFF0000"/>
      </patternFill>
    </fill>
    <fill>
      <patternFill patternType="solid">
        <fgColor rgb="FF66FFFF"/>
        <bgColor rgb="FFFFFF00"/>
      </patternFill>
    </fill>
    <fill>
      <patternFill patternType="solid">
        <fgColor rgb="FF006600"/>
        <bgColor rgb="FFFFFFFF"/>
      </patternFill>
    </fill>
    <fill>
      <patternFill patternType="solid">
        <fgColor theme="9" tint="0.39997558519241921"/>
        <bgColor rgb="FF99CCFF"/>
      </patternFill>
    </fill>
    <fill>
      <patternFill patternType="solid">
        <fgColor theme="9" tint="0.39997558519241921"/>
        <bgColor rgb="FFFF6600"/>
      </patternFill>
    </fill>
    <fill>
      <patternFill patternType="solid">
        <fgColor theme="9" tint="0.39997558519241921"/>
        <bgColor rgb="FFFFFF99"/>
      </patternFill>
    </fill>
    <fill>
      <patternFill patternType="solid">
        <fgColor theme="9" tint="0.39997558519241921"/>
        <bgColor rgb="FFFF808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rgb="FFFFFFCC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theme="0"/>
      </top>
      <bottom style="thick">
        <color indexed="64"/>
      </bottom>
      <diagonal/>
    </border>
    <border>
      <left style="thick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95">
    <xf numFmtId="0" fontId="0" fillId="0" borderId="0" xfId="0"/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49" fontId="7" fillId="0" borderId="0" xfId="0" applyNumberFormat="1" applyFont="1" applyBorder="1" applyAlignment="1" applyProtection="1">
      <alignment horizontal="left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0" borderId="8" xfId="0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11" xfId="0" applyFont="1" applyBorder="1" applyAlignment="1" applyProtection="1">
      <alignment vertical="center"/>
      <protection hidden="1"/>
    </xf>
    <xf numFmtId="0" fontId="10" fillId="0" borderId="25" xfId="0" applyFont="1" applyBorder="1" applyAlignment="1" applyProtection="1">
      <alignment horizontal="center" vertical="top"/>
      <protection hidden="1"/>
    </xf>
    <xf numFmtId="0" fontId="10" fillId="0" borderId="33" xfId="0" applyFont="1" applyBorder="1" applyAlignment="1" applyProtection="1">
      <alignment vertical="center"/>
      <protection hidden="1"/>
    </xf>
    <xf numFmtId="0" fontId="10" fillId="0" borderId="12" xfId="0" applyFont="1" applyBorder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right" vertical="center"/>
      <protection hidden="1"/>
    </xf>
    <xf numFmtId="49" fontId="27" fillId="0" borderId="52" xfId="0" applyNumberFormat="1" applyFont="1" applyFill="1" applyBorder="1" applyAlignment="1" applyProtection="1">
      <alignment horizontal="center" vertical="center"/>
      <protection hidden="1"/>
    </xf>
    <xf numFmtId="49" fontId="27" fillId="0" borderId="39" xfId="0" applyNumberFormat="1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top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8" fillId="0" borderId="40" xfId="0" applyFont="1" applyBorder="1" applyAlignment="1" applyProtection="1">
      <alignment vertical="center"/>
      <protection hidden="1"/>
    </xf>
    <xf numFmtId="49" fontId="10" fillId="0" borderId="40" xfId="0" applyNumberFormat="1" applyFont="1" applyBorder="1" applyAlignment="1" applyProtection="1">
      <alignment horizontal="left" vertical="center"/>
      <protection hidden="1"/>
    </xf>
    <xf numFmtId="0" fontId="10" fillId="0" borderId="51" xfId="0" applyFont="1" applyBorder="1" applyAlignment="1" applyProtection="1">
      <alignment vertical="top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38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10" fillId="0" borderId="48" xfId="0" applyFont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vertical="center"/>
      <protection hidden="1"/>
    </xf>
    <xf numFmtId="0" fontId="12" fillId="0" borderId="20" xfId="0" applyFont="1" applyBorder="1" applyAlignment="1" applyProtection="1">
      <alignment vertical="center"/>
      <protection hidden="1"/>
    </xf>
    <xf numFmtId="0" fontId="12" fillId="0" borderId="31" xfId="0" applyFont="1" applyBorder="1" applyAlignment="1" applyProtection="1">
      <alignment vertical="center"/>
      <protection hidden="1"/>
    </xf>
    <xf numFmtId="0" fontId="12" fillId="0" borderId="2" xfId="0" applyFont="1" applyBorder="1" applyAlignment="1" applyProtection="1">
      <alignment vertical="center"/>
      <protection hidden="1"/>
    </xf>
    <xf numFmtId="0" fontId="12" fillId="0" borderId="3" xfId="0" applyFont="1" applyBorder="1" applyAlignment="1" applyProtection="1">
      <alignment vertical="center"/>
      <protection hidden="1"/>
    </xf>
    <xf numFmtId="0" fontId="12" fillId="0" borderId="39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vertical="center"/>
      <protection hidden="1"/>
    </xf>
    <xf numFmtId="0" fontId="12" fillId="0" borderId="54" xfId="0" applyFont="1" applyBorder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0" fillId="0" borderId="13" xfId="0" applyFont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31" fillId="0" borderId="0" xfId="0" applyFont="1" applyBorder="1" applyAlignment="1" applyProtection="1"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Border="1" applyAlignment="1" applyProtection="1"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protection hidden="1"/>
    </xf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protection hidden="1"/>
    </xf>
    <xf numFmtId="0" fontId="24" fillId="0" borderId="0" xfId="0" applyFont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wrapText="1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4" fillId="11" borderId="46" xfId="0" applyFont="1" applyFill="1" applyBorder="1" applyAlignment="1" applyProtection="1">
      <alignment horizontal="right" vertical="center" wrapText="1" indent="2"/>
      <protection locked="0"/>
    </xf>
    <xf numFmtId="0" fontId="33" fillId="0" borderId="0" xfId="0" applyFont="1" applyAlignment="1" applyProtection="1">
      <alignment vertical="center"/>
      <protection hidden="1"/>
    </xf>
    <xf numFmtId="49" fontId="29" fillId="13" borderId="56" xfId="0" applyNumberFormat="1" applyFont="1" applyFill="1" applyBorder="1" applyAlignment="1" applyProtection="1">
      <alignment horizontal="right" vertical="center" indent="2"/>
      <protection hidden="1"/>
    </xf>
    <xf numFmtId="0" fontId="4" fillId="18" borderId="46" xfId="0" applyFont="1" applyFill="1" applyBorder="1" applyAlignment="1" applyProtection="1">
      <alignment horizontal="right" vertical="center" wrapText="1" indent="2"/>
      <protection locked="0"/>
    </xf>
    <xf numFmtId="0" fontId="4" fillId="7" borderId="46" xfId="0" applyFont="1" applyFill="1" applyBorder="1" applyAlignment="1" applyProtection="1">
      <alignment horizontal="right" vertical="center" wrapText="1" indent="2"/>
      <protection locked="0"/>
    </xf>
    <xf numFmtId="0" fontId="4" fillId="3" borderId="53" xfId="0" applyFont="1" applyFill="1" applyBorder="1" applyAlignment="1" applyProtection="1">
      <alignment horizontal="right" vertical="center" wrapText="1" indent="2"/>
      <protection locked="0"/>
    </xf>
    <xf numFmtId="0" fontId="17" fillId="10" borderId="46" xfId="0" applyFont="1" applyFill="1" applyBorder="1" applyAlignment="1" applyProtection="1">
      <alignment horizontal="right" vertical="center" wrapText="1" indent="2"/>
      <protection locked="0"/>
    </xf>
    <xf numFmtId="0" fontId="17" fillId="11" borderId="46" xfId="0" applyFont="1" applyFill="1" applyBorder="1" applyAlignment="1" applyProtection="1">
      <alignment horizontal="right" vertical="center" wrapText="1" indent="2"/>
      <protection locked="0"/>
    </xf>
    <xf numFmtId="0" fontId="10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22" borderId="0" xfId="0" applyFill="1" applyProtection="1">
      <protection hidden="1"/>
    </xf>
    <xf numFmtId="0" fontId="0" fillId="22" borderId="0" xfId="0" applyFill="1" applyAlignment="1" applyProtection="1">
      <alignment vertical="center"/>
      <protection hidden="1"/>
    </xf>
    <xf numFmtId="0" fontId="19" fillId="22" borderId="0" xfId="0" applyFont="1" applyFill="1" applyProtection="1"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12" fillId="0" borderId="62" xfId="0" applyFont="1" applyBorder="1" applyAlignment="1" applyProtection="1">
      <alignment horizontal="center" vertical="center"/>
      <protection hidden="1"/>
    </xf>
    <xf numFmtId="0" fontId="12" fillId="0" borderId="45" xfId="0" applyFont="1" applyBorder="1" applyAlignment="1" applyProtection="1">
      <alignment horizontal="center" vertical="center"/>
      <protection hidden="1"/>
    </xf>
    <xf numFmtId="1" fontId="11" fillId="0" borderId="0" xfId="0" applyNumberFormat="1" applyFont="1" applyBorder="1" applyAlignment="1" applyProtection="1">
      <alignment vertical="center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9" fontId="25" fillId="0" borderId="4" xfId="0" applyNumberFormat="1" applyFont="1" applyBorder="1" applyAlignment="1" applyProtection="1">
      <alignment horizontal="center" vertical="center" wrapText="1"/>
      <protection hidden="1"/>
    </xf>
    <xf numFmtId="49" fontId="29" fillId="13" borderId="64" xfId="0" applyNumberFormat="1" applyFont="1" applyFill="1" applyBorder="1" applyAlignment="1" applyProtection="1">
      <alignment horizontal="right" vertical="center" indent="2"/>
      <protection hidden="1"/>
    </xf>
    <xf numFmtId="0" fontId="4" fillId="8" borderId="46" xfId="0" applyFont="1" applyFill="1" applyBorder="1" applyAlignment="1" applyProtection="1">
      <alignment horizontal="right" vertical="center" wrapText="1" indent="2"/>
      <protection locked="0"/>
    </xf>
    <xf numFmtId="0" fontId="4" fillId="3" borderId="46" xfId="0" applyFont="1" applyFill="1" applyBorder="1" applyAlignment="1" applyProtection="1">
      <alignment horizontal="right" vertical="center" wrapText="1" indent="2"/>
      <protection locked="0"/>
    </xf>
    <xf numFmtId="0" fontId="4" fillId="7" borderId="50" xfId="0" applyFont="1" applyFill="1" applyBorder="1" applyAlignment="1" applyProtection="1">
      <alignment horizontal="right" vertical="center" wrapText="1" indent="2"/>
      <protection locked="0"/>
    </xf>
    <xf numFmtId="0" fontId="17" fillId="7" borderId="46" xfId="0" applyFont="1" applyFill="1" applyBorder="1" applyAlignment="1" applyProtection="1">
      <alignment horizontal="right" vertical="center" wrapText="1" indent="2"/>
      <protection locked="0"/>
    </xf>
    <xf numFmtId="0" fontId="0" fillId="0" borderId="0" xfId="0" applyAlignment="1" applyProtection="1">
      <alignment horizontal="center" vertical="center"/>
      <protection hidden="1"/>
    </xf>
    <xf numFmtId="0" fontId="12" fillId="0" borderId="5" xfId="0" applyFont="1" applyFill="1" applyBorder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vertical="center"/>
      <protection hidden="1"/>
    </xf>
    <xf numFmtId="0" fontId="29" fillId="13" borderId="53" xfId="0" applyFont="1" applyFill="1" applyBorder="1" applyAlignment="1" applyProtection="1">
      <alignment horizontal="center" vertical="center"/>
      <protection hidden="1"/>
    </xf>
    <xf numFmtId="0" fontId="29" fillId="13" borderId="56" xfId="0" applyFont="1" applyFill="1" applyBorder="1" applyAlignment="1" applyProtection="1">
      <alignment horizontal="center" vertical="center"/>
      <protection hidden="1"/>
    </xf>
    <xf numFmtId="0" fontId="28" fillId="14" borderId="37" xfId="0" applyFont="1" applyFill="1" applyBorder="1" applyAlignment="1" applyProtection="1">
      <alignment horizontal="left" vertical="center" indent="1"/>
      <protection hidden="1"/>
    </xf>
    <xf numFmtId="0" fontId="17" fillId="7" borderId="50" xfId="0" applyFont="1" applyFill="1" applyBorder="1" applyAlignment="1" applyProtection="1">
      <alignment horizontal="right" vertical="center" wrapText="1" indent="2"/>
      <protection locked="0"/>
    </xf>
    <xf numFmtId="0" fontId="0" fillId="0" borderId="0" xfId="0" applyFill="1" applyProtection="1">
      <protection hidden="1"/>
    </xf>
    <xf numFmtId="0" fontId="19" fillId="0" borderId="0" xfId="0" applyFont="1" applyFill="1" applyProtection="1"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7" fillId="21" borderId="46" xfId="0" applyFont="1" applyFill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top"/>
      <protection hidden="1"/>
    </xf>
    <xf numFmtId="0" fontId="5" fillId="0" borderId="38" xfId="0" applyFont="1" applyBorder="1" applyAlignment="1" applyProtection="1">
      <alignment horizontal="center" vertical="center" wrapText="1"/>
      <protection hidden="1"/>
    </xf>
    <xf numFmtId="0" fontId="5" fillId="0" borderId="44" xfId="0" applyFont="1" applyBorder="1" applyAlignment="1" applyProtection="1">
      <alignment horizontal="center" vertical="center" wrapText="1"/>
      <protection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49" fontId="29" fillId="13" borderId="56" xfId="0" applyNumberFormat="1" applyFont="1" applyFill="1" applyBorder="1" applyAlignment="1" applyProtection="1">
      <alignment horizontal="center" vertical="center"/>
      <protection hidden="1"/>
    </xf>
    <xf numFmtId="0" fontId="17" fillId="25" borderId="46" xfId="0" applyFont="1" applyFill="1" applyBorder="1" applyAlignment="1" applyProtection="1">
      <alignment horizontal="right" vertical="center"/>
      <protection locked="0"/>
    </xf>
    <xf numFmtId="0" fontId="17" fillId="27" borderId="46" xfId="0" applyFont="1" applyFill="1" applyBorder="1" applyAlignment="1" applyProtection="1">
      <alignment horizontal="right" vertical="center"/>
      <protection locked="0"/>
    </xf>
    <xf numFmtId="0" fontId="17" fillId="19" borderId="46" xfId="0" applyFont="1" applyFill="1" applyBorder="1" applyAlignment="1" applyProtection="1">
      <alignment horizontal="right" vertical="center"/>
      <protection locked="0"/>
    </xf>
    <xf numFmtId="0" fontId="17" fillId="0" borderId="46" xfId="0" applyFont="1" applyFill="1" applyBorder="1" applyAlignment="1" applyProtection="1">
      <alignment horizontal="right" vertical="center"/>
      <protection locked="0"/>
    </xf>
    <xf numFmtId="0" fontId="17" fillId="4" borderId="46" xfId="0" applyFont="1" applyFill="1" applyBorder="1" applyAlignment="1" applyProtection="1">
      <alignment horizontal="right" vertical="center"/>
      <protection locked="0"/>
    </xf>
    <xf numFmtId="0" fontId="17" fillId="21" borderId="49" xfId="0" applyFont="1" applyFill="1" applyBorder="1" applyAlignment="1" applyProtection="1">
      <alignment horizontal="right" vertical="center"/>
      <protection locked="0"/>
    </xf>
    <xf numFmtId="0" fontId="17" fillId="0" borderId="49" xfId="0" applyFont="1" applyFill="1" applyBorder="1" applyAlignment="1" applyProtection="1">
      <alignment horizontal="right" vertical="center"/>
      <protection locked="0"/>
    </xf>
    <xf numFmtId="0" fontId="34" fillId="15" borderId="68" xfId="0" applyFont="1" applyFill="1" applyBorder="1" applyAlignment="1" applyProtection="1">
      <alignment horizontal="center" vertical="center"/>
      <protection hidden="1"/>
    </xf>
    <xf numFmtId="0" fontId="34" fillId="15" borderId="69" xfId="0" applyFont="1" applyFill="1" applyBorder="1" applyAlignment="1" applyProtection="1">
      <alignment horizontal="center" vertical="center"/>
      <protection hidden="1"/>
    </xf>
    <xf numFmtId="0" fontId="34" fillId="15" borderId="68" xfId="0" applyFont="1" applyFill="1" applyBorder="1" applyAlignment="1" applyProtection="1">
      <alignment horizontal="center" vertical="center"/>
      <protection locked="0"/>
    </xf>
    <xf numFmtId="0" fontId="34" fillId="15" borderId="70" xfId="0" applyFont="1" applyFill="1" applyBorder="1" applyAlignment="1" applyProtection="1">
      <alignment horizontal="center" vertical="center"/>
      <protection hidden="1"/>
    </xf>
    <xf numFmtId="0" fontId="44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71" xfId="0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vertical="center"/>
      <protection hidden="1"/>
    </xf>
    <xf numFmtId="1" fontId="5" fillId="0" borderId="18" xfId="0" applyNumberFormat="1" applyFont="1" applyBorder="1" applyAlignment="1" applyProtection="1">
      <alignment vertical="center"/>
      <protection hidden="1"/>
    </xf>
    <xf numFmtId="0" fontId="5" fillId="0" borderId="20" xfId="0" applyFont="1" applyBorder="1" applyAlignment="1" applyProtection="1">
      <alignment vertical="center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20" xfId="0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5" fillId="0" borderId="7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1" xfId="0" applyFont="1" applyBorder="1" applyAlignment="1" applyProtection="1">
      <alignment vertical="center"/>
      <protection hidden="1"/>
    </xf>
    <xf numFmtId="9" fontId="7" fillId="0" borderId="5" xfId="0" applyNumberFormat="1" applyFont="1" applyBorder="1" applyAlignment="1" applyProtection="1">
      <alignment horizontal="center" vertical="center" wrapText="1"/>
      <protection hidden="1"/>
    </xf>
    <xf numFmtId="0" fontId="5" fillId="0" borderId="23" xfId="0" applyFont="1" applyBorder="1" applyAlignment="1" applyProtection="1">
      <alignment vertical="center"/>
      <protection hidden="1"/>
    </xf>
    <xf numFmtId="0" fontId="10" fillId="0" borderId="19" xfId="0" applyFont="1" applyBorder="1" applyAlignment="1" applyProtection="1">
      <alignment horizontal="center" vertical="top"/>
      <protection hidden="1"/>
    </xf>
    <xf numFmtId="0" fontId="10" fillId="0" borderId="74" xfId="0" applyFont="1" applyBorder="1" applyAlignment="1" applyProtection="1">
      <alignment horizontal="center" vertical="top"/>
      <protection hidden="1"/>
    </xf>
    <xf numFmtId="0" fontId="5" fillId="0" borderId="41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right" vertical="center"/>
      <protection hidden="1"/>
    </xf>
    <xf numFmtId="0" fontId="25" fillId="0" borderId="11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8" fillId="14" borderId="36" xfId="0" applyFont="1" applyFill="1" applyBorder="1" applyAlignment="1" applyProtection="1">
      <alignment horizontal="right" vertical="center" inden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top" wrapText="1"/>
      <protection hidden="1"/>
    </xf>
    <xf numFmtId="0" fontId="0" fillId="0" borderId="60" xfId="0" applyBorder="1" applyAlignment="1" applyProtection="1">
      <protection hidden="1"/>
    </xf>
    <xf numFmtId="0" fontId="7" fillId="0" borderId="59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top"/>
      <protection hidden="1"/>
    </xf>
    <xf numFmtId="0" fontId="4" fillId="3" borderId="66" xfId="0" applyFont="1" applyFill="1" applyBorder="1" applyAlignment="1" applyProtection="1">
      <alignment horizontal="right" vertical="center" wrapText="1" indent="2"/>
      <protection locked="0"/>
    </xf>
    <xf numFmtId="0" fontId="4" fillId="3" borderId="55" xfId="0" applyFont="1" applyFill="1" applyBorder="1" applyAlignment="1" applyProtection="1">
      <alignment horizontal="right" vertical="center" wrapText="1" indent="2"/>
      <protection locked="0"/>
    </xf>
    <xf numFmtId="0" fontId="4" fillId="3" borderId="61" xfId="0" applyFont="1" applyFill="1" applyBorder="1" applyAlignment="1" applyProtection="1">
      <alignment horizontal="right" vertical="center" wrapText="1" indent="2"/>
      <protection locked="0"/>
    </xf>
    <xf numFmtId="0" fontId="12" fillId="0" borderId="0" xfId="0" applyFont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0" fontId="7" fillId="0" borderId="81" xfId="0" applyFont="1" applyBorder="1" applyAlignment="1" applyProtection="1">
      <alignment horizontal="center" vertical="center"/>
      <protection hidden="1"/>
    </xf>
    <xf numFmtId="0" fontId="56" fillId="0" borderId="0" xfId="0" applyFont="1" applyFill="1" applyBorder="1" applyAlignment="1" applyProtection="1">
      <alignment vertical="center"/>
      <protection locked="0" hidden="1"/>
    </xf>
    <xf numFmtId="0" fontId="55" fillId="0" borderId="0" xfId="0" applyFont="1" applyFill="1" applyBorder="1" applyAlignment="1" applyProtection="1">
      <alignment vertical="center"/>
      <protection hidden="1"/>
    </xf>
    <xf numFmtId="0" fontId="18" fillId="0" borderId="83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protection hidden="1"/>
    </xf>
    <xf numFmtId="0" fontId="35" fillId="0" borderId="0" xfId="0" applyFont="1" applyFill="1" applyBorder="1" applyAlignment="1" applyProtection="1">
      <alignment vertical="center"/>
      <protection hidden="1"/>
    </xf>
    <xf numFmtId="0" fontId="5" fillId="0" borderId="17" xfId="0" applyFont="1" applyBorder="1" applyAlignment="1" applyProtection="1">
      <alignment horizontal="right" vertical="center"/>
      <protection hidden="1"/>
    </xf>
    <xf numFmtId="1" fontId="5" fillId="0" borderId="18" xfId="0" applyNumberFormat="1" applyFont="1" applyBorder="1" applyAlignment="1" applyProtection="1">
      <alignment horizontal="right" vertical="center"/>
      <protection hidden="1"/>
    </xf>
    <xf numFmtId="0" fontId="5" fillId="0" borderId="20" xfId="0" applyFont="1" applyBorder="1" applyAlignment="1" applyProtection="1">
      <alignment horizontal="right" vertical="center"/>
      <protection hidden="1"/>
    </xf>
    <xf numFmtId="0" fontId="5" fillId="0" borderId="18" xfId="0" applyFont="1" applyBorder="1" applyAlignment="1" applyProtection="1">
      <alignment horizontal="right" vertical="center"/>
      <protection hidden="1"/>
    </xf>
    <xf numFmtId="0" fontId="5" fillId="0" borderId="20" xfId="0" applyFont="1" applyFill="1" applyBorder="1" applyAlignment="1" applyProtection="1">
      <alignment horizontal="right" vertical="center"/>
      <protection hidden="1"/>
    </xf>
    <xf numFmtId="0" fontId="5" fillId="0" borderId="18" xfId="0" applyFont="1" applyFill="1" applyBorder="1" applyAlignment="1" applyProtection="1">
      <alignment horizontal="right" vertical="center"/>
      <protection hidden="1"/>
    </xf>
    <xf numFmtId="0" fontId="8" fillId="0" borderId="2" xfId="0" applyFont="1" applyBorder="1" applyAlignment="1" applyProtection="1">
      <alignment horizontal="right" vertical="center"/>
      <protection hidden="1"/>
    </xf>
    <xf numFmtId="1" fontId="5" fillId="0" borderId="21" xfId="0" applyNumberFormat="1" applyFont="1" applyBorder="1" applyAlignment="1" applyProtection="1">
      <alignment horizontal="right" vertical="center"/>
      <protection hidden="1"/>
    </xf>
    <xf numFmtId="1" fontId="5" fillId="0" borderId="2" xfId="0" applyNumberFormat="1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23" xfId="0" applyFont="1" applyBorder="1" applyAlignment="1" applyProtection="1">
      <alignment horizontal="right" vertical="center"/>
      <protection hidden="1"/>
    </xf>
    <xf numFmtId="0" fontId="5" fillId="0" borderId="2" xfId="0" applyFont="1" applyFill="1" applyBorder="1" applyAlignment="1" applyProtection="1">
      <alignment horizontal="right" vertical="center"/>
      <protection hidden="1"/>
    </xf>
    <xf numFmtId="0" fontId="5" fillId="0" borderId="28" xfId="0" applyFont="1" applyBorder="1" applyAlignment="1" applyProtection="1">
      <alignment horizontal="right" vertical="center"/>
      <protection hidden="1"/>
    </xf>
    <xf numFmtId="0" fontId="5" fillId="0" borderId="41" xfId="0" applyFont="1" applyBorder="1" applyAlignment="1" applyProtection="1">
      <alignment horizontal="right" vertical="center"/>
      <protection hidden="1"/>
    </xf>
    <xf numFmtId="0" fontId="39" fillId="14" borderId="66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Border="1" applyAlignment="1" applyProtection="1">
      <alignment vertical="top"/>
      <protection hidden="1"/>
    </xf>
    <xf numFmtId="0" fontId="10" fillId="0" borderId="16" xfId="0" applyFont="1" applyBorder="1" applyAlignment="1" applyProtection="1">
      <alignment vertical="center"/>
      <protection hidden="1"/>
    </xf>
    <xf numFmtId="0" fontId="62" fillId="22" borderId="0" xfId="0" applyFont="1" applyFill="1" applyProtection="1">
      <protection hidden="1"/>
    </xf>
    <xf numFmtId="0" fontId="63" fillId="22" borderId="0" xfId="0" applyFont="1" applyFill="1" applyAlignment="1" applyProtection="1">
      <alignment wrapText="1"/>
      <protection hidden="1"/>
    </xf>
    <xf numFmtId="0" fontId="17" fillId="3" borderId="46" xfId="0" applyFont="1" applyFill="1" applyBorder="1" applyAlignment="1" applyProtection="1">
      <alignment horizontal="right" vertical="center" wrapText="1" indent="2"/>
      <protection locked="0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7" fillId="0" borderId="78" xfId="0" applyFont="1" applyBorder="1" applyAlignment="1" applyProtection="1">
      <alignment horizontal="right" vertical="center" wrapText="1" indent="2"/>
      <protection hidden="1"/>
    </xf>
    <xf numFmtId="0" fontId="7" fillId="0" borderId="78" xfId="0" applyFont="1" applyBorder="1" applyAlignment="1" applyProtection="1">
      <alignment horizontal="right" vertical="center" indent="2"/>
      <protection hidden="1"/>
    </xf>
    <xf numFmtId="0" fontId="7" fillId="0" borderId="11" xfId="0" applyFont="1" applyBorder="1" applyAlignment="1" applyProtection="1">
      <alignment horizontal="right" vertical="center" indent="2"/>
      <protection hidden="1"/>
    </xf>
    <xf numFmtId="0" fontId="18" fillId="19" borderId="46" xfId="0" applyFont="1" applyFill="1" applyBorder="1" applyAlignment="1" applyProtection="1">
      <alignment horizontal="center" vertical="center" wrapText="1"/>
      <protection hidden="1"/>
    </xf>
    <xf numFmtId="0" fontId="18" fillId="3" borderId="46" xfId="0" applyFont="1" applyFill="1" applyBorder="1" applyAlignment="1" applyProtection="1">
      <alignment horizontal="center" vertical="center"/>
      <protection locked="0"/>
    </xf>
    <xf numFmtId="0" fontId="7" fillId="0" borderId="80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5" fillId="0" borderId="59" xfId="0" applyFont="1" applyBorder="1" applyAlignment="1" applyProtection="1">
      <alignment horizontal="center" vertical="center"/>
      <protection hidden="1"/>
    </xf>
    <xf numFmtId="0" fontId="5" fillId="0" borderId="18" xfId="0" applyFont="1" applyBorder="1" applyAlignment="1" applyProtection="1">
      <alignment horizontal="right" vertical="center" indent="2"/>
      <protection hidden="1"/>
    </xf>
    <xf numFmtId="0" fontId="7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5" fillId="0" borderId="20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7" fillId="0" borderId="81" xfId="0" applyFont="1" applyBorder="1" applyAlignment="1" applyProtection="1">
      <alignment horizontal="right" vertical="center" indent="2"/>
      <protection hidden="1"/>
    </xf>
    <xf numFmtId="0" fontId="7" fillId="0" borderId="81" xfId="0" applyFont="1" applyBorder="1" applyAlignment="1" applyProtection="1">
      <alignment horizontal="right" vertical="center" wrapText="1" indent="2"/>
      <protection hidden="1"/>
    </xf>
    <xf numFmtId="0" fontId="7" fillId="0" borderId="23" xfId="0" applyNumberFormat="1" applyFont="1" applyBorder="1" applyAlignment="1" applyProtection="1">
      <alignment horizontal="right" vertical="center" indent="2"/>
      <protection hidden="1"/>
    </xf>
    <xf numFmtId="0" fontId="7" fillId="0" borderId="18" xfId="0" applyNumberFormat="1" applyFont="1" applyBorder="1" applyAlignment="1" applyProtection="1">
      <alignment horizontal="right" vertical="center" indent="2"/>
      <protection hidden="1"/>
    </xf>
    <xf numFmtId="0" fontId="5" fillId="0" borderId="87" xfId="0" applyFont="1" applyBorder="1" applyAlignment="1" applyProtection="1">
      <alignment horizontal="center" vertical="center"/>
      <protection hidden="1"/>
    </xf>
    <xf numFmtId="0" fontId="5" fillId="0" borderId="71" xfId="0" applyFont="1" applyBorder="1" applyAlignment="1" applyProtection="1">
      <alignment horizontal="right" vertical="center" indent="2"/>
      <protection hidden="1"/>
    </xf>
    <xf numFmtId="0" fontId="0" fillId="0" borderId="11" xfId="0" applyBorder="1" applyAlignment="1" applyProtection="1">
      <protection hidden="1"/>
    </xf>
    <xf numFmtId="0" fontId="0" fillId="0" borderId="33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7" fillId="0" borderId="22" xfId="0" applyFont="1" applyBorder="1" applyAlignment="1" applyProtection="1">
      <alignment vertical="center"/>
      <protection hidden="1"/>
    </xf>
    <xf numFmtId="0" fontId="7" fillId="0" borderId="75" xfId="0" applyFont="1" applyBorder="1" applyAlignment="1" applyProtection="1">
      <alignment vertical="center"/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vertical="center" wrapText="1"/>
      <protection hidden="1"/>
    </xf>
    <xf numFmtId="0" fontId="4" fillId="3" borderId="46" xfId="0" applyFont="1" applyFill="1" applyBorder="1" applyAlignment="1" applyProtection="1">
      <alignment horizontal="right" vertical="center" indent="2"/>
      <protection locked="0"/>
    </xf>
    <xf numFmtId="0" fontId="17" fillId="3" borderId="50" xfId="0" applyFont="1" applyFill="1" applyBorder="1" applyAlignment="1" applyProtection="1">
      <alignment horizontal="right" vertical="center" indent="2"/>
      <protection locked="0"/>
    </xf>
    <xf numFmtId="0" fontId="5" fillId="0" borderId="88" xfId="0" applyFont="1" applyBorder="1" applyAlignment="1" applyProtection="1">
      <alignment vertical="center"/>
      <protection hidden="1"/>
    </xf>
    <xf numFmtId="0" fontId="5" fillId="0" borderId="18" xfId="0" applyFont="1" applyFill="1" applyBorder="1" applyAlignment="1" applyProtection="1">
      <alignment vertical="center"/>
      <protection hidden="1"/>
    </xf>
    <xf numFmtId="1" fontId="5" fillId="0" borderId="18" xfId="0" applyNumberFormat="1" applyFont="1" applyFill="1" applyBorder="1" applyAlignment="1" applyProtection="1">
      <alignment vertical="center"/>
      <protection hidden="1"/>
    </xf>
    <xf numFmtId="0" fontId="10" fillId="0" borderId="74" xfId="0" applyFont="1" applyBorder="1" applyAlignment="1" applyProtection="1">
      <alignment horizontal="center" vertical="center"/>
      <protection hidden="1"/>
    </xf>
    <xf numFmtId="1" fontId="5" fillId="0" borderId="41" xfId="0" applyNumberFormat="1" applyFont="1" applyFill="1" applyBorder="1" applyAlignment="1" applyProtection="1">
      <alignment vertical="center"/>
      <protection hidden="1"/>
    </xf>
    <xf numFmtId="0" fontId="7" fillId="0" borderId="8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25" fillId="0" borderId="3" xfId="0" applyFont="1" applyBorder="1" applyAlignment="1" applyProtection="1">
      <alignment vertical="center"/>
      <protection hidden="1"/>
    </xf>
    <xf numFmtId="0" fontId="25" fillId="0" borderId="4" xfId="0" applyFont="1" applyFill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7" fillId="0" borderId="31" xfId="0" applyFont="1" applyBorder="1" applyAlignment="1" applyProtection="1">
      <alignment horizontal="center" vertical="top" wrapText="1"/>
      <protection hidden="1"/>
    </xf>
    <xf numFmtId="0" fontId="7" fillId="0" borderId="63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1" fontId="5" fillId="0" borderId="2" xfId="0" applyNumberFormat="1" applyFont="1" applyBorder="1" applyAlignment="1" applyProtection="1">
      <alignment vertical="center"/>
      <protection hidden="1"/>
    </xf>
    <xf numFmtId="0" fontId="10" fillId="0" borderId="93" xfId="0" applyFont="1" applyBorder="1" applyAlignment="1" applyProtection="1">
      <alignment horizontal="center" vertical="center"/>
      <protection hidden="1"/>
    </xf>
    <xf numFmtId="1" fontId="5" fillId="0" borderId="21" xfId="0" applyNumberFormat="1" applyFont="1" applyBorder="1" applyAlignment="1" applyProtection="1">
      <alignment vertical="center"/>
      <protection hidden="1"/>
    </xf>
    <xf numFmtId="1" fontId="5" fillId="0" borderId="28" xfId="0" applyNumberFormat="1" applyFont="1" applyBorder="1" applyAlignment="1" applyProtection="1">
      <alignment vertical="center"/>
      <protection hidden="1"/>
    </xf>
    <xf numFmtId="1" fontId="5" fillId="0" borderId="71" xfId="0" applyNumberFormat="1" applyFont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25" fillId="0" borderId="73" xfId="0" applyFont="1" applyBorder="1" applyAlignment="1" applyProtection="1">
      <alignment horizontal="center" vertical="center"/>
      <protection hidden="1"/>
    </xf>
    <xf numFmtId="0" fontId="25" fillId="0" borderId="80" xfId="0" applyFont="1" applyBorder="1" applyAlignment="1" applyProtection="1">
      <alignment horizontal="center" vertical="center"/>
      <protection hidden="1"/>
    </xf>
    <xf numFmtId="0" fontId="25" fillId="0" borderId="63" xfId="0" applyFont="1" applyBorder="1" applyAlignment="1" applyProtection="1">
      <alignment horizontal="center" vertical="center"/>
      <protection hidden="1"/>
    </xf>
    <xf numFmtId="0" fontId="25" fillId="0" borderId="20" xfId="0" applyFont="1" applyBorder="1" applyAlignment="1" applyProtection="1">
      <alignment horizontal="center" vertical="center"/>
      <protection hidden="1"/>
    </xf>
    <xf numFmtId="0" fontId="25" fillId="0" borderId="31" xfId="0" applyFont="1" applyBorder="1" applyAlignment="1" applyProtection="1">
      <alignment horizontal="center" vertical="center"/>
      <protection hidden="1"/>
    </xf>
    <xf numFmtId="0" fontId="25" fillId="0" borderId="59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center" vertical="center" wrapText="1"/>
      <protection hidden="1"/>
    </xf>
    <xf numFmtId="0" fontId="25" fillId="0" borderId="5" xfId="0" applyFont="1" applyBorder="1" applyAlignment="1" applyProtection="1">
      <alignment horizontal="center" vertical="center"/>
      <protection hidden="1"/>
    </xf>
    <xf numFmtId="0" fontId="25" fillId="0" borderId="80" xfId="0" applyFont="1" applyBorder="1" applyAlignment="1" applyProtection="1">
      <alignment horizontal="center" vertical="center" wrapText="1"/>
      <protection hidden="1"/>
    </xf>
    <xf numFmtId="0" fontId="25" fillId="0" borderId="63" xfId="0" applyFont="1" applyBorder="1" applyAlignment="1" applyProtection="1">
      <alignment horizontal="center" vertical="center" wrapText="1"/>
      <protection hidden="1"/>
    </xf>
    <xf numFmtId="0" fontId="25" fillId="0" borderId="20" xfId="0" applyFont="1" applyBorder="1" applyAlignment="1" applyProtection="1">
      <alignment horizontal="center" vertical="center" wrapText="1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center" vertical="center" wrapText="1"/>
      <protection hidden="1"/>
    </xf>
    <xf numFmtId="0" fontId="5" fillId="0" borderId="88" xfId="0" applyFont="1" applyFill="1" applyBorder="1" applyAlignment="1" applyProtection="1">
      <alignment vertical="center"/>
      <protection hidden="1"/>
    </xf>
    <xf numFmtId="0" fontId="12" fillId="0" borderId="80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1" fontId="5" fillId="0" borderId="15" xfId="0" applyNumberFormat="1" applyFont="1" applyFill="1" applyBorder="1" applyAlignment="1" applyProtection="1">
      <alignment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25" fillId="0" borderId="2" xfId="0" applyFont="1" applyBorder="1" applyAlignment="1" applyProtection="1">
      <alignment horizontal="right" vertical="center" indent="1"/>
      <protection hidden="1"/>
    </xf>
    <xf numFmtId="0" fontId="7" fillId="0" borderId="2" xfId="0" applyFont="1" applyBorder="1" applyAlignment="1" applyProtection="1">
      <alignment horizontal="right" vertical="center" wrapText="1" indent="1"/>
      <protection hidden="1"/>
    </xf>
    <xf numFmtId="0" fontId="7" fillId="0" borderId="8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5" fillId="0" borderId="63" xfId="0" applyFont="1" applyFill="1" applyBorder="1" applyAlignment="1" applyProtection="1">
      <alignment vertical="center"/>
      <protection hidden="1"/>
    </xf>
    <xf numFmtId="0" fontId="17" fillId="3" borderId="50" xfId="0" applyFont="1" applyFill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horizontal="right" vertical="center" wrapText="1" indent="2"/>
      <protection hidden="1"/>
    </xf>
    <xf numFmtId="0" fontId="10" fillId="0" borderId="25" xfId="0" applyFont="1" applyBorder="1" applyAlignment="1" applyProtection="1">
      <alignment horizontal="center" vertical="center"/>
      <protection hidden="1"/>
    </xf>
    <xf numFmtId="0" fontId="19" fillId="0" borderId="84" xfId="0" applyFont="1" applyBorder="1" applyAlignment="1" applyProtection="1">
      <alignment horizontal="center"/>
      <protection hidden="1"/>
    </xf>
    <xf numFmtId="0" fontId="18" fillId="19" borderId="46" xfId="0" applyFont="1" applyFill="1" applyBorder="1" applyAlignment="1" applyProtection="1">
      <alignment horizontal="center" vertical="center"/>
      <protection hidden="1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0" fontId="18" fillId="19" borderId="49" xfId="0" applyFont="1" applyFill="1" applyBorder="1" applyAlignment="1" applyProtection="1">
      <alignment horizontal="center" vertical="center"/>
      <protection hidden="1"/>
    </xf>
    <xf numFmtId="0" fontId="18" fillId="19" borderId="55" xfId="0" applyFont="1" applyFill="1" applyBorder="1" applyAlignment="1" applyProtection="1">
      <alignment horizontal="center" vertical="center"/>
      <protection hidden="1"/>
    </xf>
    <xf numFmtId="0" fontId="17" fillId="3" borderId="49" xfId="0" applyFont="1" applyFill="1" applyBorder="1" applyAlignment="1" applyProtection="1">
      <alignment horizontal="center" vertical="center"/>
      <protection locked="0"/>
    </xf>
    <xf numFmtId="0" fontId="17" fillId="3" borderId="46" xfId="0" applyFont="1" applyFill="1" applyBorder="1" applyAlignment="1" applyProtection="1">
      <alignment horizontal="right" vertical="center" indent="2"/>
      <protection locked="0"/>
    </xf>
    <xf numFmtId="0" fontId="7" fillId="0" borderId="8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39" fillId="14" borderId="57" xfId="0" applyFont="1" applyFill="1" applyBorder="1" applyAlignment="1" applyProtection="1">
      <alignment horizontal="right" vertical="center" indent="1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7" fillId="0" borderId="75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73" xfId="0" applyFont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0" fontId="17" fillId="3" borderId="55" xfId="0" applyFont="1" applyFill="1" applyBorder="1" applyAlignment="1" applyProtection="1">
      <alignment horizontal="right" vertical="center" indent="2"/>
      <protection locked="0"/>
    </xf>
    <xf numFmtId="0" fontId="45" fillId="29" borderId="95" xfId="0" applyFont="1" applyFill="1" applyBorder="1" applyAlignment="1" applyProtection="1">
      <alignment horizontal="center" vertical="center"/>
      <protection hidden="1"/>
    </xf>
    <xf numFmtId="0" fontId="45" fillId="14" borderId="96" xfId="0" applyFont="1" applyFill="1" applyBorder="1" applyAlignment="1" applyProtection="1">
      <alignment horizontal="center" vertical="center"/>
      <protection hidden="1"/>
    </xf>
    <xf numFmtId="0" fontId="41" fillId="29" borderId="99" xfId="0" applyFont="1" applyFill="1" applyBorder="1" applyAlignment="1" applyProtection="1">
      <alignment horizontal="center" vertical="center" wrapText="1"/>
      <protection hidden="1"/>
    </xf>
    <xf numFmtId="0" fontId="41" fillId="14" borderId="98" xfId="0" applyFont="1" applyFill="1" applyBorder="1" applyAlignment="1" applyProtection="1">
      <alignment horizontal="center" vertical="center" wrapText="1"/>
      <protection hidden="1"/>
    </xf>
    <xf numFmtId="0" fontId="37" fillId="23" borderId="0" xfId="0" applyFont="1" applyFill="1" applyAlignment="1" applyProtection="1">
      <alignment horizontal="center" vertical="center"/>
      <protection hidden="1"/>
    </xf>
    <xf numFmtId="0" fontId="34" fillId="15" borderId="100" xfId="0" applyFont="1" applyFill="1" applyBorder="1" applyAlignment="1" applyProtection="1">
      <alignment horizontal="center" vertical="center"/>
      <protection hidden="1"/>
    </xf>
    <xf numFmtId="0" fontId="34" fillId="15" borderId="101" xfId="0" applyFont="1" applyFill="1" applyBorder="1" applyAlignment="1" applyProtection="1">
      <alignment horizontal="center" vertical="center"/>
      <protection hidden="1"/>
    </xf>
    <xf numFmtId="0" fontId="34" fillId="15" borderId="102" xfId="0" applyFont="1" applyFill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vertical="center"/>
      <protection hidden="1"/>
    </xf>
    <xf numFmtId="0" fontId="12" fillId="0" borderId="3" xfId="0" applyFont="1" applyFill="1" applyBorder="1" applyAlignment="1" applyProtection="1">
      <alignment vertical="center"/>
      <protection hidden="1"/>
    </xf>
    <xf numFmtId="0" fontId="12" fillId="0" borderId="1" xfId="0" applyFont="1" applyFill="1" applyBorder="1" applyAlignment="1" applyProtection="1">
      <alignment vertical="center"/>
      <protection hidden="1"/>
    </xf>
    <xf numFmtId="0" fontId="34" fillId="15" borderId="103" xfId="0" applyFont="1" applyFill="1" applyBorder="1" applyAlignment="1" applyProtection="1">
      <alignment horizontal="center" vertical="center"/>
      <protection hidden="1"/>
    </xf>
    <xf numFmtId="0" fontId="34" fillId="15" borderId="66" xfId="0" applyFont="1" applyFill="1" applyBorder="1" applyAlignment="1" applyProtection="1">
      <alignment horizontal="center" vertical="center"/>
      <protection hidden="1"/>
    </xf>
    <xf numFmtId="0" fontId="12" fillId="0" borderId="87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30" borderId="20" xfId="0" applyFont="1" applyFill="1" applyBorder="1" applyAlignment="1" applyProtection="1">
      <alignment vertical="center"/>
      <protection locked="0"/>
    </xf>
    <xf numFmtId="0" fontId="5" fillId="30" borderId="18" xfId="0" applyFont="1" applyFill="1" applyBorder="1" applyAlignment="1" applyProtection="1">
      <alignment vertical="center"/>
      <protection locked="0"/>
    </xf>
    <xf numFmtId="0" fontId="5" fillId="30" borderId="2" xfId="0" applyFont="1" applyFill="1" applyBorder="1" applyAlignment="1" applyProtection="1">
      <alignment vertical="center"/>
      <protection locked="0"/>
    </xf>
    <xf numFmtId="0" fontId="0" fillId="30" borderId="2" xfId="0" applyFont="1" applyFill="1" applyBorder="1" applyAlignment="1" applyProtection="1">
      <alignment vertical="center"/>
      <protection locked="0"/>
    </xf>
    <xf numFmtId="0" fontId="5" fillId="30" borderId="18" xfId="0" applyFont="1" applyFill="1" applyBorder="1" applyAlignment="1" applyProtection="1">
      <alignment horizontal="right" vertical="center"/>
      <protection locked="0"/>
    </xf>
    <xf numFmtId="0" fontId="5" fillId="30" borderId="2" xfId="0" applyFont="1" applyFill="1" applyBorder="1" applyAlignment="1" applyProtection="1">
      <alignment horizontal="right" vertical="center"/>
      <protection locked="0"/>
    </xf>
    <xf numFmtId="0" fontId="5" fillId="0" borderId="21" xfId="0" applyFont="1" applyBorder="1" applyAlignment="1" applyProtection="1">
      <alignment horizontal="center" vertical="center"/>
      <protection hidden="1"/>
    </xf>
    <xf numFmtId="0" fontId="25" fillId="0" borderId="80" xfId="0" applyFont="1" applyBorder="1" applyAlignment="1" applyProtection="1">
      <alignment horizontal="center" vertical="top"/>
      <protection hidden="1"/>
    </xf>
    <xf numFmtId="0" fontId="7" fillId="0" borderId="0" xfId="0" applyFont="1" applyProtection="1">
      <protection hidden="1"/>
    </xf>
    <xf numFmtId="0" fontId="66" fillId="0" borderId="2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4" fillId="20" borderId="55" xfId="0" applyFont="1" applyFill="1" applyBorder="1" applyAlignment="1" applyProtection="1">
      <alignment horizontal="right" vertical="center" wrapText="1" indent="1"/>
      <protection hidden="1"/>
    </xf>
    <xf numFmtId="0" fontId="17" fillId="12" borderId="49" xfId="0" applyFont="1" applyFill="1" applyBorder="1" applyAlignment="1" applyProtection="1">
      <alignment horizontal="right" vertical="center" wrapText="1" indent="1"/>
      <protection hidden="1"/>
    </xf>
    <xf numFmtId="0" fontId="0" fillId="22" borderId="0" xfId="0" applyFill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6" fillId="8" borderId="46" xfId="0" applyFont="1" applyFill="1" applyBorder="1" applyAlignment="1" applyProtection="1">
      <alignment horizontal="right" vertical="center" wrapText="1" indent="2"/>
      <protection locked="0"/>
    </xf>
    <xf numFmtId="0" fontId="4" fillId="36" borderId="53" xfId="0" applyFont="1" applyFill="1" applyBorder="1" applyAlignment="1" applyProtection="1">
      <alignment horizontal="right" vertical="center" wrapText="1" indent="2"/>
      <protection locked="0"/>
    </xf>
    <xf numFmtId="0" fontId="4" fillId="36" borderId="46" xfId="0" applyFont="1" applyFill="1" applyBorder="1" applyAlignment="1" applyProtection="1">
      <alignment horizontal="right" vertical="center" wrapText="1" indent="2"/>
      <protection locked="0"/>
    </xf>
    <xf numFmtId="0" fontId="4" fillId="36" borderId="50" xfId="0" applyFont="1" applyFill="1" applyBorder="1" applyAlignment="1" applyProtection="1">
      <alignment horizontal="right" vertical="center" wrapText="1" indent="2"/>
      <protection locked="0"/>
    </xf>
    <xf numFmtId="0" fontId="4" fillId="25" borderId="46" xfId="0" applyFont="1" applyFill="1" applyBorder="1" applyAlignment="1" applyProtection="1">
      <alignment horizontal="center" vertical="center" wrapText="1"/>
      <protection hidden="1"/>
    </xf>
    <xf numFmtId="0" fontId="29" fillId="42" borderId="55" xfId="0" applyFont="1" applyFill="1" applyBorder="1" applyAlignment="1" applyProtection="1">
      <alignment horizontal="center" vertical="center" wrapText="1"/>
      <protection hidden="1"/>
    </xf>
    <xf numFmtId="0" fontId="29" fillId="39" borderId="55" xfId="0" applyFont="1" applyFill="1" applyBorder="1" applyAlignment="1" applyProtection="1">
      <alignment horizontal="center" vertical="center" wrapText="1"/>
      <protection hidden="1"/>
    </xf>
    <xf numFmtId="0" fontId="4" fillId="25" borderId="46" xfId="0" applyFont="1" applyFill="1" applyBorder="1" applyAlignment="1" applyProtection="1">
      <alignment horizontal="center" vertical="center"/>
      <protection hidden="1"/>
    </xf>
    <xf numFmtId="0" fontId="74" fillId="25" borderId="46" xfId="0" applyFont="1" applyFill="1" applyBorder="1" applyAlignment="1" applyProtection="1">
      <alignment horizontal="center" vertical="center"/>
      <protection hidden="1"/>
    </xf>
    <xf numFmtId="0" fontId="17" fillId="48" borderId="49" xfId="0" applyFont="1" applyFill="1" applyBorder="1" applyAlignment="1" applyProtection="1">
      <alignment horizontal="right" vertical="center" wrapText="1" indent="1"/>
      <protection hidden="1"/>
    </xf>
    <xf numFmtId="0" fontId="4" fillId="47" borderId="55" xfId="0" applyFont="1" applyFill="1" applyBorder="1" applyAlignment="1" applyProtection="1">
      <alignment horizontal="right" vertical="center" wrapText="1" indent="1"/>
      <protection hidden="1"/>
    </xf>
    <xf numFmtId="0" fontId="61" fillId="0" borderId="57" xfId="0" applyFont="1" applyBorder="1" applyAlignment="1" applyProtection="1">
      <alignment vertical="center" wrapText="1"/>
      <protection hidden="1"/>
    </xf>
    <xf numFmtId="0" fontId="77" fillId="0" borderId="106" xfId="0" applyFont="1" applyBorder="1" applyAlignment="1" applyProtection="1">
      <alignment vertical="center" wrapText="1"/>
      <protection hidden="1"/>
    </xf>
    <xf numFmtId="0" fontId="0" fillId="0" borderId="107" xfId="0" applyBorder="1" applyAlignment="1"/>
    <xf numFmtId="0" fontId="34" fillId="13" borderId="49" xfId="0" applyFont="1" applyFill="1" applyBorder="1" applyAlignment="1" applyProtection="1">
      <alignment horizontal="center" vertical="center"/>
      <protection hidden="1"/>
    </xf>
    <xf numFmtId="0" fontId="34" fillId="13" borderId="84" xfId="0" applyFont="1" applyFill="1" applyBorder="1" applyAlignment="1" applyProtection="1">
      <alignment horizontal="center" vertical="center"/>
      <protection hidden="1"/>
    </xf>
    <xf numFmtId="0" fontId="34" fillId="13" borderId="55" xfId="0" applyFont="1" applyFill="1" applyBorder="1" applyAlignment="1" applyProtection="1">
      <alignment horizontal="center" vertical="center"/>
      <protection hidden="1"/>
    </xf>
    <xf numFmtId="0" fontId="75" fillId="25" borderId="46" xfId="0" applyFont="1" applyFill="1" applyBorder="1" applyAlignment="1" applyProtection="1">
      <alignment horizontal="center" vertical="center" textRotation="90"/>
      <protection hidden="1"/>
    </xf>
    <xf numFmtId="0" fontId="16" fillId="20" borderId="46" xfId="0" applyFont="1" applyFill="1" applyBorder="1" applyAlignment="1" applyProtection="1">
      <alignment horizontal="center" vertical="center" wrapText="1"/>
      <protection hidden="1"/>
    </xf>
    <xf numFmtId="0" fontId="0" fillId="0" borderId="84" xfId="0" applyBorder="1" applyAlignment="1" applyProtection="1">
      <alignment horizontal="center"/>
      <protection hidden="1"/>
    </xf>
    <xf numFmtId="0" fontId="4" fillId="5" borderId="49" xfId="0" applyFont="1" applyFill="1" applyBorder="1" applyAlignment="1" applyProtection="1">
      <alignment horizontal="left" vertical="center" wrapText="1" indent="1"/>
      <protection locked="0"/>
    </xf>
    <xf numFmtId="0" fontId="4" fillId="5" borderId="84" xfId="0" applyFont="1" applyFill="1" applyBorder="1" applyAlignment="1" applyProtection="1">
      <alignment horizontal="left" vertical="center" wrapText="1" indent="1"/>
      <protection locked="0"/>
    </xf>
    <xf numFmtId="0" fontId="4" fillId="5" borderId="55" xfId="0" applyFont="1" applyFill="1" applyBorder="1" applyAlignment="1" applyProtection="1">
      <alignment horizontal="left" vertical="center" wrapText="1" indent="1"/>
      <protection locked="0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16" fillId="25" borderId="49" xfId="0" applyFont="1" applyFill="1" applyBorder="1" applyAlignment="1" applyProtection="1">
      <alignment horizontal="center" vertical="center"/>
      <protection hidden="1"/>
    </xf>
    <xf numFmtId="0" fontId="16" fillId="25" borderId="84" xfId="0" applyFont="1" applyFill="1" applyBorder="1" applyAlignment="1" applyProtection="1">
      <alignment horizontal="center" vertical="center"/>
      <protection hidden="1"/>
    </xf>
    <xf numFmtId="0" fontId="16" fillId="25" borderId="55" xfId="0" applyFont="1" applyFill="1" applyBorder="1" applyAlignment="1" applyProtection="1">
      <alignment horizontal="center" vertical="center"/>
      <protection hidden="1"/>
    </xf>
    <xf numFmtId="0" fontId="4" fillId="46" borderId="46" xfId="0" applyFont="1" applyFill="1" applyBorder="1" applyAlignment="1" applyProtection="1">
      <alignment horizontal="right" vertical="center" wrapText="1" indent="1"/>
      <protection hidden="1"/>
    </xf>
    <xf numFmtId="0" fontId="17" fillId="19" borderId="46" xfId="0" applyFont="1" applyFill="1" applyBorder="1" applyAlignment="1" applyProtection="1">
      <alignment horizontal="right" vertical="center" indent="1"/>
      <protection hidden="1"/>
    </xf>
    <xf numFmtId="0" fontId="4" fillId="35" borderId="46" xfId="0" applyFont="1" applyFill="1" applyBorder="1" applyAlignment="1" applyProtection="1">
      <alignment horizontal="right" vertical="center" wrapText="1" indent="1"/>
      <protection hidden="1"/>
    </xf>
    <xf numFmtId="0" fontId="4" fillId="45" borderId="46" xfId="0" applyFont="1" applyFill="1" applyBorder="1" applyAlignment="1" applyProtection="1">
      <alignment horizontal="right" vertical="center" wrapText="1" indent="1"/>
      <protection hidden="1"/>
    </xf>
    <xf numFmtId="0" fontId="60" fillId="0" borderId="46" xfId="0" applyFont="1" applyBorder="1" applyAlignment="1" applyProtection="1">
      <alignment horizontal="center" vertical="center" wrapText="1"/>
      <protection hidden="1"/>
    </xf>
    <xf numFmtId="0" fontId="4" fillId="20" borderId="49" xfId="0" applyFont="1" applyFill="1" applyBorder="1" applyAlignment="1" applyProtection="1">
      <alignment horizontal="right" vertical="center" wrapText="1" indent="1"/>
      <protection hidden="1"/>
    </xf>
    <xf numFmtId="0" fontId="4" fillId="20" borderId="84" xfId="0" applyFont="1" applyFill="1" applyBorder="1" applyAlignment="1" applyProtection="1">
      <alignment horizontal="right" vertical="center" wrapText="1" indent="1"/>
      <protection hidden="1"/>
    </xf>
    <xf numFmtId="0" fontId="4" fillId="20" borderId="55" xfId="0" applyFont="1" applyFill="1" applyBorder="1" applyAlignment="1" applyProtection="1">
      <alignment horizontal="right" vertical="center" wrapText="1" indent="1"/>
      <protection hidden="1"/>
    </xf>
    <xf numFmtId="49" fontId="4" fillId="19" borderId="46" xfId="0" applyNumberFormat="1" applyFont="1" applyFill="1" applyBorder="1" applyAlignment="1" applyProtection="1">
      <alignment horizontal="center" vertical="center" wrapText="1"/>
      <protection hidden="1"/>
    </xf>
    <xf numFmtId="0" fontId="34" fillId="34" borderId="46" xfId="0" applyFont="1" applyFill="1" applyBorder="1" applyAlignment="1" applyProtection="1">
      <alignment horizontal="center" vertical="center" wrapText="1"/>
      <protection hidden="1"/>
    </xf>
    <xf numFmtId="0" fontId="16" fillId="38" borderId="49" xfId="0" applyFont="1" applyFill="1" applyBorder="1" applyAlignment="1" applyProtection="1">
      <alignment horizontal="center" vertical="center" wrapText="1"/>
      <protection hidden="1"/>
    </xf>
    <xf numFmtId="0" fontId="16" fillId="38" borderId="84" xfId="0" applyFont="1" applyFill="1" applyBorder="1" applyAlignment="1" applyProtection="1">
      <alignment horizontal="center" vertical="center" wrapText="1"/>
      <protection hidden="1"/>
    </xf>
    <xf numFmtId="0" fontId="16" fillId="38" borderId="55" xfId="0" applyFont="1" applyFill="1" applyBorder="1" applyAlignment="1" applyProtection="1">
      <alignment horizontal="center" vertical="center" wrapText="1"/>
      <protection hidden="1"/>
    </xf>
    <xf numFmtId="0" fontId="7" fillId="0" borderId="84" xfId="0" applyFont="1" applyBorder="1" applyAlignment="1" applyProtection="1">
      <alignment horizontal="center" vertical="center" wrapText="1"/>
      <protection hidden="1"/>
    </xf>
    <xf numFmtId="0" fontId="4" fillId="43" borderId="49" xfId="0" applyFont="1" applyFill="1" applyBorder="1" applyAlignment="1" applyProtection="1">
      <alignment horizontal="center" vertical="center" wrapText="1"/>
      <protection hidden="1"/>
    </xf>
    <xf numFmtId="0" fontId="4" fillId="43" borderId="55" xfId="0" applyFont="1" applyFill="1" applyBorder="1" applyAlignment="1" applyProtection="1">
      <alignment horizontal="center" vertical="center" wrapText="1"/>
      <protection hidden="1"/>
    </xf>
    <xf numFmtId="0" fontId="17" fillId="6" borderId="49" xfId="0" applyFont="1" applyFill="1" applyBorder="1" applyAlignment="1" applyProtection="1">
      <alignment horizontal="right" vertical="center" wrapText="1" indent="1"/>
      <protection hidden="1"/>
    </xf>
    <xf numFmtId="0" fontId="17" fillId="6" borderId="55" xfId="0" applyFont="1" applyFill="1" applyBorder="1" applyAlignment="1" applyProtection="1">
      <alignment horizontal="right" vertical="center" wrapText="1" indent="1"/>
      <protection hidden="1"/>
    </xf>
    <xf numFmtId="0" fontId="17" fillId="48" borderId="49" xfId="0" applyFont="1" applyFill="1" applyBorder="1" applyAlignment="1" applyProtection="1">
      <alignment horizontal="right" vertical="center" wrapText="1" indent="1"/>
      <protection hidden="1"/>
    </xf>
    <xf numFmtId="0" fontId="17" fillId="48" borderId="55" xfId="0" applyFont="1" applyFill="1" applyBorder="1" applyAlignment="1" applyProtection="1">
      <alignment horizontal="right" vertical="center" wrapText="1" indent="1"/>
      <protection hidden="1"/>
    </xf>
    <xf numFmtId="0" fontId="4" fillId="47" borderId="49" xfId="0" applyFont="1" applyFill="1" applyBorder="1" applyAlignment="1" applyProtection="1">
      <alignment horizontal="right" vertical="center" wrapText="1" indent="1"/>
      <protection hidden="1"/>
    </xf>
    <xf numFmtId="0" fontId="4" fillId="47" borderId="55" xfId="0" applyFont="1" applyFill="1" applyBorder="1" applyAlignment="1" applyProtection="1">
      <alignment horizontal="right" vertical="center" wrapText="1" indent="1"/>
      <protection hidden="1"/>
    </xf>
    <xf numFmtId="49" fontId="4" fillId="19" borderId="46" xfId="0" applyNumberFormat="1" applyFont="1" applyFill="1" applyBorder="1" applyAlignment="1" applyProtection="1">
      <alignment horizontal="right" vertical="center" indent="1"/>
      <protection hidden="1"/>
    </xf>
    <xf numFmtId="0" fontId="34" fillId="13" borderId="46" xfId="0" applyFont="1" applyFill="1" applyBorder="1" applyAlignment="1" applyProtection="1">
      <alignment horizontal="center" vertical="center" wrapText="1"/>
      <protection hidden="1"/>
    </xf>
    <xf numFmtId="0" fontId="4" fillId="16" borderId="46" xfId="0" applyFont="1" applyFill="1" applyBorder="1" applyAlignment="1" applyProtection="1">
      <alignment horizontal="left" vertical="center" wrapText="1" indent="1"/>
      <protection locked="0"/>
    </xf>
    <xf numFmtId="0" fontId="4" fillId="2" borderId="46" xfId="0" applyFont="1" applyFill="1" applyBorder="1" applyAlignment="1" applyProtection="1">
      <alignment horizontal="left" vertical="center" wrapText="1" indent="1"/>
      <protection locked="0"/>
    </xf>
    <xf numFmtId="0" fontId="4" fillId="17" borderId="46" xfId="0" applyFont="1" applyFill="1" applyBorder="1" applyAlignment="1" applyProtection="1">
      <alignment horizontal="left" vertical="center" wrapText="1" indent="1"/>
      <protection locked="0"/>
    </xf>
    <xf numFmtId="0" fontId="4" fillId="5" borderId="46" xfId="0" applyFont="1" applyFill="1" applyBorder="1" applyAlignment="1" applyProtection="1">
      <alignment horizontal="left" vertical="center" indent="1"/>
      <protection locked="0"/>
    </xf>
    <xf numFmtId="0" fontId="19" fillId="25" borderId="55" xfId="0" applyFont="1" applyFill="1" applyBorder="1" applyProtection="1">
      <protection hidden="1"/>
    </xf>
    <xf numFmtId="0" fontId="4" fillId="5" borderId="46" xfId="0" applyFont="1" applyFill="1" applyBorder="1" applyAlignment="1" applyProtection="1">
      <alignment horizontal="left" vertical="center" wrapText="1" indent="1"/>
      <protection locked="0"/>
    </xf>
    <xf numFmtId="0" fontId="4" fillId="43" borderId="49" xfId="0" applyFont="1" applyFill="1" applyBorder="1" applyAlignment="1" applyProtection="1">
      <alignment horizontal="right" vertical="center" wrapText="1" indent="1"/>
      <protection hidden="1"/>
    </xf>
    <xf numFmtId="0" fontId="4" fillId="43" borderId="55" xfId="0" applyFont="1" applyFill="1" applyBorder="1" applyAlignment="1" applyProtection="1">
      <alignment horizontal="right" vertical="center" wrapText="1" indent="1"/>
      <protection hidden="1"/>
    </xf>
    <xf numFmtId="0" fontId="34" fillId="33" borderId="46" xfId="0" applyFont="1" applyFill="1" applyBorder="1" applyAlignment="1" applyProtection="1">
      <alignment horizontal="center" vertical="center" wrapText="1"/>
      <protection hidden="1"/>
    </xf>
    <xf numFmtId="0" fontId="55" fillId="13" borderId="55" xfId="0" applyFont="1" applyFill="1" applyBorder="1" applyProtection="1">
      <protection hidden="1"/>
    </xf>
    <xf numFmtId="0" fontId="4" fillId="6" borderId="49" xfId="0" applyFont="1" applyFill="1" applyBorder="1" applyAlignment="1" applyProtection="1">
      <alignment horizontal="right" vertical="center" wrapText="1" indent="1"/>
      <protection hidden="1"/>
    </xf>
    <xf numFmtId="0" fontId="4" fillId="6" borderId="55" xfId="0" applyFont="1" applyFill="1" applyBorder="1" applyAlignment="1" applyProtection="1">
      <alignment horizontal="right" vertical="center" wrapText="1" indent="1"/>
      <protection hidden="1"/>
    </xf>
    <xf numFmtId="0" fontId="4" fillId="44" borderId="49" xfId="0" applyFont="1" applyFill="1" applyBorder="1" applyAlignment="1" applyProtection="1">
      <alignment horizontal="right" vertical="center" wrapText="1" indent="1"/>
      <protection hidden="1"/>
    </xf>
    <xf numFmtId="0" fontId="4" fillId="44" borderId="55" xfId="0" applyFont="1" applyFill="1" applyBorder="1" applyAlignment="1" applyProtection="1">
      <alignment horizontal="right" vertical="center" wrapText="1" indent="1"/>
      <protection hidden="1"/>
    </xf>
    <xf numFmtId="0" fontId="4" fillId="41" borderId="49" xfId="0" applyFont="1" applyFill="1" applyBorder="1" applyAlignment="1" applyProtection="1">
      <alignment horizontal="right" vertical="center" wrapText="1" indent="1"/>
      <protection hidden="1"/>
    </xf>
    <xf numFmtId="0" fontId="4" fillId="41" borderId="55" xfId="0" applyFont="1" applyFill="1" applyBorder="1" applyAlignment="1" applyProtection="1">
      <alignment horizontal="right" vertical="center" wrapText="1" indent="1"/>
      <protection hidden="1"/>
    </xf>
    <xf numFmtId="49" fontId="4" fillId="16" borderId="49" xfId="0" applyNumberFormat="1" applyFont="1" applyFill="1" applyBorder="1" applyAlignment="1" applyProtection="1">
      <alignment horizontal="left" vertical="center" wrapText="1" indent="1"/>
      <protection locked="0"/>
    </xf>
    <xf numFmtId="49" fontId="4" fillId="16" borderId="84" xfId="0" applyNumberFormat="1" applyFont="1" applyFill="1" applyBorder="1" applyAlignment="1" applyProtection="1">
      <alignment horizontal="left" vertical="center" wrapText="1" indent="1"/>
      <protection locked="0"/>
    </xf>
    <xf numFmtId="49" fontId="4" fillId="16" borderId="55" xfId="0" applyNumberFormat="1" applyFont="1" applyFill="1" applyBorder="1" applyAlignment="1" applyProtection="1">
      <alignment horizontal="left" vertical="center" wrapText="1" indent="1"/>
      <protection locked="0"/>
    </xf>
    <xf numFmtId="49" fontId="4" fillId="4" borderId="46" xfId="0" applyNumberFormat="1" applyFont="1" applyFill="1" applyBorder="1" applyAlignment="1" applyProtection="1">
      <alignment horizontal="right" vertical="center" indent="1"/>
      <protection hidden="1"/>
    </xf>
    <xf numFmtId="0" fontId="34" fillId="15" borderId="56" xfId="0" applyFont="1" applyFill="1" applyBorder="1" applyAlignment="1" applyProtection="1">
      <alignment horizontal="center" vertical="center" wrapText="1"/>
      <protection hidden="1"/>
    </xf>
    <xf numFmtId="0" fontId="34" fillId="15" borderId="105" xfId="0" applyFont="1" applyFill="1" applyBorder="1" applyAlignment="1" applyProtection="1">
      <alignment horizontal="center" vertical="center" wrapText="1"/>
      <protection hidden="1"/>
    </xf>
    <xf numFmtId="0" fontId="34" fillId="13" borderId="46" xfId="0" applyFont="1" applyFill="1" applyBorder="1" applyAlignment="1" applyProtection="1">
      <alignment horizontal="center" vertical="center"/>
      <protection hidden="1"/>
    </xf>
    <xf numFmtId="0" fontId="34" fillId="14" borderId="104" xfId="0" applyFont="1" applyFill="1" applyBorder="1" applyAlignment="1" applyProtection="1">
      <alignment horizontal="center" vertical="center" wrapText="1"/>
      <protection hidden="1"/>
    </xf>
    <xf numFmtId="0" fontId="34" fillId="14" borderId="56" xfId="0" applyFont="1" applyFill="1" applyBorder="1" applyAlignment="1" applyProtection="1">
      <alignment horizontal="center" vertical="center" wrapText="1"/>
      <protection hidden="1"/>
    </xf>
    <xf numFmtId="0" fontId="34" fillId="28" borderId="50" xfId="0" applyFont="1" applyFill="1" applyBorder="1" applyAlignment="1" applyProtection="1">
      <alignment horizontal="center" vertical="center" wrapText="1"/>
      <protection hidden="1"/>
    </xf>
    <xf numFmtId="0" fontId="34" fillId="28" borderId="46" xfId="0" applyFont="1" applyFill="1" applyBorder="1" applyAlignment="1" applyProtection="1">
      <alignment horizontal="center" vertical="center" wrapText="1"/>
      <protection hidden="1"/>
    </xf>
    <xf numFmtId="0" fontId="17" fillId="12" borderId="46" xfId="0" applyFont="1" applyFill="1" applyBorder="1" applyAlignment="1" applyProtection="1">
      <alignment horizontal="right" vertical="center" wrapText="1" indent="1"/>
      <protection hidden="1"/>
    </xf>
    <xf numFmtId="0" fontId="16" fillId="37" borderId="46" xfId="0" applyFont="1" applyFill="1" applyBorder="1" applyAlignment="1" applyProtection="1">
      <alignment horizontal="center" vertical="center" wrapText="1"/>
      <protection hidden="1"/>
    </xf>
    <xf numFmtId="0" fontId="17" fillId="43" borderId="46" xfId="0" applyFont="1" applyFill="1" applyBorder="1" applyAlignment="1" applyProtection="1">
      <alignment horizontal="right" vertical="center" wrapText="1" indent="1"/>
      <protection hidden="1"/>
    </xf>
    <xf numFmtId="0" fontId="5" fillId="0" borderId="57" xfId="0" applyFont="1" applyFill="1" applyBorder="1" applyAlignment="1" applyProtection="1">
      <alignment horizontal="center" vertical="center" wrapText="1"/>
      <protection hidden="1"/>
    </xf>
    <xf numFmtId="0" fontId="48" fillId="32" borderId="46" xfId="0" applyFont="1" applyFill="1" applyBorder="1" applyAlignment="1" applyProtection="1">
      <alignment horizontal="center" vertical="center" wrapText="1"/>
      <protection hidden="1"/>
    </xf>
    <xf numFmtId="0" fontId="41" fillId="31" borderId="46" xfId="0" applyFont="1" applyFill="1" applyBorder="1" applyAlignment="1" applyProtection="1">
      <alignment horizontal="center" vertical="center" wrapText="1"/>
      <protection hidden="1"/>
    </xf>
    <xf numFmtId="0" fontId="41" fillId="24" borderId="53" xfId="0" applyFont="1" applyFill="1" applyBorder="1" applyAlignment="1" applyProtection="1">
      <alignment horizontal="center" vertical="center" wrapText="1"/>
      <protection hidden="1"/>
    </xf>
    <xf numFmtId="0" fontId="64" fillId="0" borderId="46" xfId="0" applyFont="1" applyFill="1" applyBorder="1" applyAlignment="1" applyProtection="1">
      <alignment horizontal="center" vertical="center"/>
      <protection hidden="1"/>
    </xf>
    <xf numFmtId="0" fontId="43" fillId="3" borderId="53" xfId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1" fillId="15" borderId="97" xfId="0" applyFont="1" applyFill="1" applyBorder="1" applyAlignment="1" applyProtection="1">
      <alignment horizontal="center" vertical="center"/>
      <protection hidden="1"/>
    </xf>
    <xf numFmtId="0" fontId="64" fillId="0" borderId="94" xfId="0" applyFont="1" applyBorder="1" applyAlignment="1" applyProtection="1">
      <alignment horizontal="center" vertical="center"/>
      <protection hidden="1"/>
    </xf>
    <xf numFmtId="0" fontId="41" fillId="31" borderId="49" xfId="0" applyFont="1" applyFill="1" applyBorder="1" applyAlignment="1" applyProtection="1">
      <alignment horizontal="center" vertical="center" wrapText="1"/>
      <protection hidden="1"/>
    </xf>
    <xf numFmtId="0" fontId="41" fillId="31" borderId="55" xfId="0" applyFont="1" applyFill="1" applyBorder="1" applyAlignment="1" applyProtection="1">
      <alignment horizontal="center" vertical="center" wrapText="1"/>
      <protection hidden="1"/>
    </xf>
    <xf numFmtId="0" fontId="48" fillId="32" borderId="49" xfId="0" applyFont="1" applyFill="1" applyBorder="1" applyAlignment="1" applyProtection="1">
      <alignment horizontal="center" vertical="center" wrapText="1"/>
      <protection hidden="1"/>
    </xf>
    <xf numFmtId="0" fontId="48" fillId="32" borderId="55" xfId="0" applyFont="1" applyFill="1" applyBorder="1" applyAlignment="1" applyProtection="1">
      <alignment horizontal="center" vertical="center" wrapText="1"/>
      <protection hidden="1"/>
    </xf>
    <xf numFmtId="0" fontId="72" fillId="19" borderId="58" xfId="0" applyFont="1" applyFill="1" applyBorder="1" applyAlignment="1" applyProtection="1">
      <alignment horizontal="center" vertical="center"/>
      <protection hidden="1"/>
    </xf>
    <xf numFmtId="0" fontId="72" fillId="19" borderId="60" xfId="0" applyFont="1" applyFill="1" applyBorder="1" applyAlignment="1" applyProtection="1">
      <alignment horizontal="center" vertical="center"/>
      <protection hidden="1"/>
    </xf>
    <xf numFmtId="0" fontId="72" fillId="19" borderId="61" xfId="0" applyFont="1" applyFill="1" applyBorder="1" applyAlignment="1" applyProtection="1">
      <alignment horizontal="center" vertical="center"/>
      <protection hidden="1"/>
    </xf>
    <xf numFmtId="0" fontId="72" fillId="19" borderId="65" xfId="0" applyFont="1" applyFill="1" applyBorder="1" applyAlignment="1" applyProtection="1">
      <alignment horizontal="center" vertical="center"/>
      <protection hidden="1"/>
    </xf>
    <xf numFmtId="0" fontId="72" fillId="19" borderId="57" xfId="0" applyFont="1" applyFill="1" applyBorder="1" applyAlignment="1" applyProtection="1">
      <alignment horizontal="center" vertical="center"/>
      <protection hidden="1"/>
    </xf>
    <xf numFmtId="0" fontId="72" fillId="19" borderId="66" xfId="0" applyFont="1" applyFill="1" applyBorder="1" applyAlignment="1" applyProtection="1">
      <alignment horizontal="center" vertical="center"/>
      <protection hidden="1"/>
    </xf>
    <xf numFmtId="0" fontId="34" fillId="28" borderId="49" xfId="0" applyFont="1" applyFill="1" applyBorder="1" applyAlignment="1" applyProtection="1">
      <alignment horizontal="center" vertical="center" wrapText="1"/>
      <protection hidden="1"/>
    </xf>
    <xf numFmtId="0" fontId="34" fillId="28" borderId="84" xfId="0" applyFont="1" applyFill="1" applyBorder="1" applyAlignment="1" applyProtection="1">
      <alignment horizontal="center" vertical="center" wrapText="1"/>
      <protection hidden="1"/>
    </xf>
    <xf numFmtId="0" fontId="34" fillId="28" borderId="55" xfId="0" applyFont="1" applyFill="1" applyBorder="1" applyAlignment="1" applyProtection="1">
      <alignment horizontal="center" vertical="center" wrapText="1"/>
      <protection hidden="1"/>
    </xf>
    <xf numFmtId="0" fontId="17" fillId="12" borderId="49" xfId="0" applyFont="1" applyFill="1" applyBorder="1" applyAlignment="1" applyProtection="1">
      <alignment horizontal="right" vertical="center" wrapText="1" indent="1"/>
      <protection hidden="1"/>
    </xf>
    <xf numFmtId="0" fontId="17" fillId="12" borderId="84" xfId="0" applyFont="1" applyFill="1" applyBorder="1" applyAlignment="1" applyProtection="1">
      <alignment horizontal="right" vertical="center" wrapText="1" indent="1"/>
      <protection hidden="1"/>
    </xf>
    <xf numFmtId="0" fontId="17" fillId="12" borderId="55" xfId="0" applyFont="1" applyFill="1" applyBorder="1" applyAlignment="1" applyProtection="1">
      <alignment horizontal="right" vertical="center" wrapText="1" indent="1"/>
      <protection hidden="1"/>
    </xf>
    <xf numFmtId="0" fontId="17" fillId="3" borderId="46" xfId="0" applyFont="1" applyFill="1" applyBorder="1" applyAlignment="1" applyProtection="1">
      <alignment horizontal="center" vertical="center"/>
      <protection locked="0"/>
    </xf>
    <xf numFmtId="0" fontId="34" fillId="13" borderId="60" xfId="0" applyFont="1" applyFill="1" applyBorder="1" applyAlignment="1" applyProtection="1">
      <alignment horizontal="center" vertical="center"/>
      <protection hidden="1"/>
    </xf>
    <xf numFmtId="0" fontId="4" fillId="47" borderId="84" xfId="0" applyFont="1" applyFill="1" applyBorder="1" applyAlignment="1" applyProtection="1">
      <alignment horizontal="right" vertical="center" wrapText="1" indent="1"/>
      <protection hidden="1"/>
    </xf>
    <xf numFmtId="0" fontId="4" fillId="19" borderId="49" xfId="0" applyFont="1" applyFill="1" applyBorder="1" applyAlignment="1" applyProtection="1">
      <alignment horizontal="right" vertical="center" wrapText="1" indent="1"/>
      <protection hidden="1"/>
    </xf>
    <xf numFmtId="0" fontId="4" fillId="19" borderId="84" xfId="0" applyFont="1" applyFill="1" applyBorder="1" applyAlignment="1" applyProtection="1">
      <alignment horizontal="right" vertical="center" wrapText="1" indent="1"/>
      <protection hidden="1"/>
    </xf>
    <xf numFmtId="0" fontId="4" fillId="19" borderId="55" xfId="0" applyFont="1" applyFill="1" applyBorder="1" applyAlignment="1" applyProtection="1">
      <alignment horizontal="right" vertical="center" wrapText="1" indent="1"/>
      <protection hidden="1"/>
    </xf>
    <xf numFmtId="0" fontId="17" fillId="48" borderId="46" xfId="0" applyFont="1" applyFill="1" applyBorder="1" applyAlignment="1" applyProtection="1">
      <alignment horizontal="right" vertical="center" wrapText="1" indent="1"/>
      <protection hidden="1"/>
    </xf>
    <xf numFmtId="0" fontId="67" fillId="0" borderId="60" xfId="0" applyFont="1" applyBorder="1" applyAlignment="1" applyProtection="1">
      <alignment horizontal="center" vertical="center" wrapText="1"/>
      <protection hidden="1"/>
    </xf>
    <xf numFmtId="0" fontId="67" fillId="0" borderId="60" xfId="0" applyFont="1" applyBorder="1" applyAlignment="1" applyProtection="1">
      <alignment horizontal="center" vertical="center"/>
      <protection hidden="1"/>
    </xf>
    <xf numFmtId="0" fontId="34" fillId="15" borderId="46" xfId="0" applyFont="1" applyFill="1" applyBorder="1" applyAlignment="1" applyProtection="1">
      <alignment horizontal="center" vertical="center" wrapText="1"/>
      <protection hidden="1"/>
    </xf>
    <xf numFmtId="0" fontId="4" fillId="12" borderId="49" xfId="0" applyFont="1" applyFill="1" applyBorder="1" applyAlignment="1" applyProtection="1">
      <alignment horizontal="right" vertical="center" wrapText="1" indent="1"/>
      <protection hidden="1"/>
    </xf>
    <xf numFmtId="0" fontId="4" fillId="12" borderId="55" xfId="0" applyFont="1" applyFill="1" applyBorder="1" applyAlignment="1" applyProtection="1">
      <alignment horizontal="right" vertical="center" wrapText="1" indent="1"/>
      <protection hidden="1"/>
    </xf>
    <xf numFmtId="0" fontId="17" fillId="3" borderId="46" xfId="0" applyFont="1" applyFill="1" applyBorder="1" applyAlignment="1" applyProtection="1">
      <alignment horizontal="right" vertical="center" indent="2"/>
      <protection locked="0"/>
    </xf>
    <xf numFmtId="0" fontId="18" fillId="19" borderId="46" xfId="0" applyFont="1" applyFill="1" applyBorder="1" applyAlignment="1" applyProtection="1">
      <alignment horizontal="center" vertical="center"/>
      <protection hidden="1"/>
    </xf>
    <xf numFmtId="0" fontId="77" fillId="0" borderId="84" xfId="0" applyFont="1" applyBorder="1" applyAlignment="1">
      <alignment horizontal="center" vertical="center"/>
    </xf>
    <xf numFmtId="0" fontId="0" fillId="22" borderId="0" xfId="0" applyFill="1" applyAlignment="1" applyProtection="1">
      <alignment horizontal="center"/>
      <protection hidden="1"/>
    </xf>
    <xf numFmtId="0" fontId="17" fillId="43" borderId="49" xfId="0" applyFont="1" applyFill="1" applyBorder="1" applyAlignment="1" applyProtection="1">
      <alignment horizontal="right" vertical="center" wrapText="1" indent="1"/>
      <protection hidden="1"/>
    </xf>
    <xf numFmtId="0" fontId="17" fillId="43" borderId="55" xfId="0" applyFont="1" applyFill="1" applyBorder="1" applyAlignment="1" applyProtection="1">
      <alignment horizontal="right" vertical="center" wrapText="1" indent="1"/>
      <protection hidden="1"/>
    </xf>
    <xf numFmtId="0" fontId="4" fillId="40" borderId="49" xfId="0" applyFont="1" applyFill="1" applyBorder="1" applyAlignment="1" applyProtection="1">
      <alignment horizontal="right" vertical="center" wrapText="1" indent="1"/>
      <protection hidden="1"/>
    </xf>
    <xf numFmtId="0" fontId="4" fillId="40" borderId="55" xfId="0" applyFont="1" applyFill="1" applyBorder="1" applyAlignment="1" applyProtection="1">
      <alignment horizontal="right" vertical="center" wrapText="1" indent="1"/>
      <protection hidden="1"/>
    </xf>
    <xf numFmtId="0" fontId="4" fillId="25" borderId="46" xfId="0" applyFont="1" applyFill="1" applyBorder="1" applyAlignment="1" applyProtection="1">
      <alignment horizontal="center" vertical="center" wrapText="1"/>
      <protection hidden="1"/>
    </xf>
    <xf numFmtId="0" fontId="34" fillId="34" borderId="49" xfId="0" applyFont="1" applyFill="1" applyBorder="1" applyAlignment="1" applyProtection="1">
      <alignment horizontal="center" vertical="center" wrapText="1"/>
      <protection hidden="1"/>
    </xf>
    <xf numFmtId="0" fontId="34" fillId="34" borderId="84" xfId="0" applyFont="1" applyFill="1" applyBorder="1" applyAlignment="1" applyProtection="1">
      <alignment horizontal="center" vertical="center" wrapText="1"/>
      <protection hidden="1"/>
    </xf>
    <xf numFmtId="0" fontId="34" fillId="34" borderId="55" xfId="0" applyFont="1" applyFill="1" applyBorder="1" applyAlignment="1" applyProtection="1">
      <alignment horizontal="center" vertical="center" wrapText="1"/>
      <protection hidden="1"/>
    </xf>
    <xf numFmtId="0" fontId="29" fillId="23" borderId="0" xfId="0" applyFont="1" applyFill="1" applyBorder="1" applyAlignment="1" applyProtection="1">
      <alignment horizontal="center" vertical="center"/>
      <protection hidden="1"/>
    </xf>
    <xf numFmtId="0" fontId="67" fillId="0" borderId="0" xfId="0" applyFont="1" applyBorder="1" applyAlignment="1" applyProtection="1">
      <alignment horizontal="center" vertical="top" wrapText="1"/>
      <protection hidden="1"/>
    </xf>
    <xf numFmtId="0" fontId="42" fillId="21" borderId="49" xfId="1" applyFont="1" applyFill="1" applyBorder="1" applyAlignment="1" applyProtection="1">
      <alignment horizontal="center" vertical="center"/>
    </xf>
    <xf numFmtId="0" fontId="42" fillId="21" borderId="84" xfId="1" applyFont="1" applyFill="1" applyBorder="1" applyAlignment="1" applyProtection="1">
      <alignment horizontal="center" vertical="center"/>
    </xf>
    <xf numFmtId="0" fontId="42" fillId="21" borderId="55" xfId="1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8" fillId="3" borderId="49" xfId="0" applyFont="1" applyFill="1" applyBorder="1" applyAlignment="1" applyProtection="1">
      <alignment horizontal="center" vertical="center"/>
      <protection locked="0"/>
    </xf>
    <xf numFmtId="0" fontId="18" fillId="3" borderId="84" xfId="0" applyFont="1" applyFill="1" applyBorder="1" applyAlignment="1" applyProtection="1">
      <alignment horizontal="center" vertical="center"/>
      <protection locked="0"/>
    </xf>
    <xf numFmtId="0" fontId="18" fillId="3" borderId="55" xfId="0" applyFont="1" applyFill="1" applyBorder="1" applyAlignment="1" applyProtection="1">
      <alignment horizontal="center" vertical="center"/>
      <protection locked="0"/>
    </xf>
    <xf numFmtId="0" fontId="34" fillId="23" borderId="46" xfId="0" applyFont="1" applyFill="1" applyBorder="1" applyAlignment="1" applyProtection="1">
      <alignment horizontal="center" vertical="center"/>
      <protection hidden="1"/>
    </xf>
    <xf numFmtId="0" fontId="18" fillId="19" borderId="49" xfId="0" applyFont="1" applyFill="1" applyBorder="1" applyAlignment="1" applyProtection="1">
      <alignment horizontal="center" vertical="center"/>
      <protection hidden="1"/>
    </xf>
    <xf numFmtId="0" fontId="18" fillId="19" borderId="84" xfId="0" applyFont="1" applyFill="1" applyBorder="1" applyAlignment="1" applyProtection="1">
      <alignment horizontal="center" vertical="center"/>
      <protection hidden="1"/>
    </xf>
    <xf numFmtId="0" fontId="18" fillId="19" borderId="55" xfId="0" applyFont="1" applyFill="1" applyBorder="1" applyAlignment="1" applyProtection="1">
      <alignment horizontal="center" vertical="center"/>
      <protection hidden="1"/>
    </xf>
    <xf numFmtId="0" fontId="17" fillId="3" borderId="49" xfId="0" applyFont="1" applyFill="1" applyBorder="1" applyAlignment="1" applyProtection="1">
      <alignment horizontal="center" vertical="center"/>
      <protection locked="0"/>
    </xf>
    <xf numFmtId="0" fontId="17" fillId="3" borderId="55" xfId="0" applyFont="1" applyFill="1" applyBorder="1" applyAlignment="1" applyProtection="1">
      <alignment horizontal="center" vertical="center"/>
      <protection locked="0"/>
    </xf>
    <xf numFmtId="0" fontId="36" fillId="15" borderId="49" xfId="0" applyFont="1" applyFill="1" applyBorder="1" applyAlignment="1" applyProtection="1">
      <alignment horizontal="center" vertical="center"/>
      <protection hidden="1"/>
    </xf>
    <xf numFmtId="0" fontId="36" fillId="15" borderId="84" xfId="0" applyFont="1" applyFill="1" applyBorder="1" applyAlignment="1" applyProtection="1">
      <alignment horizontal="center" vertical="center"/>
      <protection hidden="1"/>
    </xf>
    <xf numFmtId="0" fontId="36" fillId="15" borderId="55" xfId="0" applyFont="1" applyFill="1" applyBorder="1" applyAlignment="1" applyProtection="1">
      <alignment horizontal="center" vertical="center"/>
      <protection hidden="1"/>
    </xf>
    <xf numFmtId="0" fontId="17" fillId="4" borderId="49" xfId="0" applyFont="1" applyFill="1" applyBorder="1" applyAlignment="1" applyProtection="1">
      <alignment horizontal="right" vertical="center" wrapText="1" indent="1"/>
      <protection hidden="1"/>
    </xf>
    <xf numFmtId="0" fontId="17" fillId="4" borderId="84" xfId="0" applyFont="1" applyFill="1" applyBorder="1" applyAlignment="1" applyProtection="1">
      <alignment horizontal="right" vertical="center" wrapText="1" indent="1"/>
      <protection hidden="1"/>
    </xf>
    <xf numFmtId="0" fontId="17" fillId="4" borderId="55" xfId="0" applyFont="1" applyFill="1" applyBorder="1" applyAlignment="1" applyProtection="1">
      <alignment horizontal="right" vertical="center" wrapText="1" indent="1"/>
      <protection hidden="1"/>
    </xf>
    <xf numFmtId="0" fontId="17" fillId="4" borderId="49" xfId="0" applyFont="1" applyFill="1" applyBorder="1" applyAlignment="1" applyProtection="1">
      <alignment horizontal="right" vertical="center" indent="1"/>
      <protection hidden="1"/>
    </xf>
    <xf numFmtId="0" fontId="17" fillId="4" borderId="84" xfId="0" applyFont="1" applyFill="1" applyBorder="1" applyAlignment="1" applyProtection="1">
      <alignment horizontal="right" vertical="center" indent="1"/>
      <protection hidden="1"/>
    </xf>
    <xf numFmtId="0" fontId="17" fillId="4" borderId="55" xfId="0" applyFont="1" applyFill="1" applyBorder="1" applyAlignment="1" applyProtection="1">
      <alignment horizontal="right" vertical="center" indent="1"/>
      <protection hidden="1"/>
    </xf>
    <xf numFmtId="0" fontId="38" fillId="26" borderId="46" xfId="0" applyFont="1" applyFill="1" applyBorder="1" applyAlignment="1" applyProtection="1">
      <alignment horizontal="center" vertical="center" wrapText="1"/>
      <protection hidden="1"/>
    </xf>
    <xf numFmtId="0" fontId="19" fillId="22" borderId="0" xfId="0" applyFont="1" applyFill="1" applyAlignment="1" applyProtection="1">
      <alignment horizontal="center"/>
      <protection hidden="1"/>
    </xf>
    <xf numFmtId="0" fontId="16" fillId="19" borderId="46" xfId="0" applyFont="1" applyFill="1" applyBorder="1" applyAlignment="1" applyProtection="1">
      <alignment horizontal="center" vertical="center" wrapText="1"/>
      <protection hidden="1"/>
    </xf>
    <xf numFmtId="0" fontId="47" fillId="19" borderId="46" xfId="0" applyFont="1" applyFill="1" applyBorder="1" applyAlignment="1" applyProtection="1">
      <alignment horizontal="center" vertical="center" wrapText="1"/>
      <protection hidden="1"/>
    </xf>
    <xf numFmtId="0" fontId="50" fillId="3" borderId="58" xfId="0" applyFont="1" applyFill="1" applyBorder="1" applyAlignment="1" applyProtection="1">
      <alignment horizontal="right" vertical="center" wrapText="1" indent="2"/>
      <protection hidden="1"/>
    </xf>
    <xf numFmtId="0" fontId="50" fillId="3" borderId="60" xfId="0" applyFont="1" applyFill="1" applyBorder="1" applyAlignment="1" applyProtection="1">
      <alignment horizontal="right" vertical="center" wrapText="1" indent="2"/>
      <protection hidden="1"/>
    </xf>
    <xf numFmtId="0" fontId="50" fillId="3" borderId="65" xfId="0" applyFont="1" applyFill="1" applyBorder="1" applyAlignment="1" applyProtection="1">
      <alignment horizontal="right" vertical="center" wrapText="1" indent="2"/>
      <protection hidden="1"/>
    </xf>
    <xf numFmtId="0" fontId="50" fillId="3" borderId="57" xfId="0" applyFont="1" applyFill="1" applyBorder="1" applyAlignment="1" applyProtection="1">
      <alignment horizontal="right" vertical="center" wrapText="1" indent="2"/>
      <protection hidden="1"/>
    </xf>
    <xf numFmtId="0" fontId="70" fillId="15" borderId="13" xfId="0" applyFont="1" applyFill="1" applyBorder="1" applyAlignment="1" applyProtection="1">
      <alignment horizontal="center" vertical="center" wrapText="1"/>
      <protection hidden="1"/>
    </xf>
    <xf numFmtId="0" fontId="32" fillId="14" borderId="13" xfId="0" applyFont="1" applyFill="1" applyBorder="1" applyAlignment="1" applyProtection="1">
      <alignment horizontal="center" vertical="center" wrapText="1"/>
      <protection hidden="1"/>
    </xf>
    <xf numFmtId="0" fontId="48" fillId="3" borderId="46" xfId="0" applyFont="1" applyFill="1" applyBorder="1" applyAlignment="1" applyProtection="1">
      <alignment horizontal="center" vertical="center" wrapText="1"/>
      <protection hidden="1"/>
    </xf>
    <xf numFmtId="0" fontId="65" fillId="0" borderId="0" xfId="0" applyFont="1" applyAlignment="1" applyProtection="1">
      <alignment horizontal="center" vertical="center"/>
      <protection hidden="1"/>
    </xf>
    <xf numFmtId="0" fontId="37" fillId="23" borderId="0" xfId="0" applyFont="1" applyFill="1" applyAlignment="1" applyProtection="1">
      <alignment horizontal="center" vertical="center"/>
      <protection hidden="1"/>
    </xf>
    <xf numFmtId="0" fontId="46" fillId="3" borderId="46" xfId="1" applyFont="1" applyFill="1" applyBorder="1" applyAlignment="1" applyProtection="1">
      <alignment horizontal="center" vertical="center" wrapText="1"/>
      <protection hidden="1"/>
    </xf>
    <xf numFmtId="0" fontId="36" fillId="22" borderId="46" xfId="0" applyFont="1" applyFill="1" applyBorder="1" applyAlignment="1" applyProtection="1">
      <alignment horizontal="center" vertical="center" wrapText="1"/>
      <protection hidden="1"/>
    </xf>
    <xf numFmtId="0" fontId="36" fillId="13" borderId="46" xfId="0" applyFont="1" applyFill="1" applyBorder="1" applyAlignment="1" applyProtection="1">
      <alignment horizontal="center" vertical="center" wrapText="1"/>
      <protection hidden="1"/>
    </xf>
    <xf numFmtId="0" fontId="36" fillId="14" borderId="46" xfId="0" applyFont="1" applyFill="1" applyBorder="1" applyAlignment="1" applyProtection="1">
      <alignment horizontal="center" vertical="center"/>
      <protection hidden="1"/>
    </xf>
    <xf numFmtId="0" fontId="31" fillId="13" borderId="0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left" vertical="center" wrapText="1"/>
      <protection hidden="1"/>
    </xf>
    <xf numFmtId="0" fontId="0" fillId="0" borderId="4" xfId="0" applyFont="1" applyBorder="1" applyProtection="1">
      <protection hidden="1"/>
    </xf>
    <xf numFmtId="0" fontId="0" fillId="0" borderId="5" xfId="0" applyFont="1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5" fillId="0" borderId="33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4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right" vertical="center"/>
      <protection hidden="1"/>
    </xf>
    <xf numFmtId="0" fontId="10" fillId="0" borderId="8" xfId="0" applyFont="1" applyBorder="1" applyAlignment="1" applyProtection="1">
      <alignment horizontal="right" vertical="center"/>
      <protection hidden="1"/>
    </xf>
    <xf numFmtId="0" fontId="10" fillId="0" borderId="10" xfId="0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10" fillId="0" borderId="33" xfId="0" applyFont="1" applyBorder="1" applyAlignment="1" applyProtection="1">
      <alignment horizontal="right" vertical="center"/>
      <protection hidden="1"/>
    </xf>
    <xf numFmtId="0" fontId="10" fillId="0" borderId="12" xfId="0" applyFont="1" applyBorder="1" applyAlignment="1" applyProtection="1">
      <alignment horizontal="right" vertical="center"/>
      <protection hidden="1"/>
    </xf>
    <xf numFmtId="0" fontId="5" fillId="0" borderId="67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left" vertical="center"/>
      <protection hidden="1"/>
    </xf>
    <xf numFmtId="0" fontId="7" fillId="0" borderId="42" xfId="0" applyFont="1" applyBorder="1" applyAlignment="1" applyProtection="1">
      <alignment horizontal="left" vertical="center"/>
      <protection hidden="1"/>
    </xf>
    <xf numFmtId="0" fontId="7" fillId="0" borderId="30" xfId="0" applyFont="1" applyBorder="1" applyAlignment="1" applyProtection="1">
      <alignment horizontal="left" vertical="center"/>
      <protection hidden="1"/>
    </xf>
    <xf numFmtId="0" fontId="12" fillId="0" borderId="12" xfId="0" applyFont="1" applyBorder="1" applyAlignment="1" applyProtection="1">
      <alignment horizontal="center" vertical="top"/>
      <protection hidden="1"/>
    </xf>
    <xf numFmtId="0" fontId="12" fillId="0" borderId="34" xfId="0" applyFont="1" applyBorder="1" applyAlignment="1" applyProtection="1">
      <alignment horizontal="center" vertical="top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 wrapText="1"/>
      <protection hidden="1"/>
    </xf>
    <xf numFmtId="0" fontId="25" fillId="0" borderId="4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12" fillId="0" borderId="11" xfId="0" applyFont="1" applyBorder="1" applyAlignment="1" applyProtection="1">
      <alignment horizontal="center" vertical="top"/>
      <protection hidden="1"/>
    </xf>
    <xf numFmtId="0" fontId="7" fillId="0" borderId="26" xfId="0" applyFont="1" applyBorder="1" applyAlignment="1" applyProtection="1">
      <alignment horizontal="left" vertical="top" wrapText="1"/>
      <protection hidden="1"/>
    </xf>
    <xf numFmtId="0" fontId="7" fillId="0" borderId="27" xfId="0" applyFont="1" applyBorder="1" applyAlignment="1" applyProtection="1">
      <alignment horizontal="left" vertical="top"/>
      <protection hidden="1"/>
    </xf>
    <xf numFmtId="0" fontId="7" fillId="0" borderId="43" xfId="0" applyFont="1" applyBorder="1" applyAlignment="1" applyProtection="1">
      <alignment horizontal="left" vertical="top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25" fillId="0" borderId="5" xfId="0" applyFont="1" applyBorder="1" applyAlignment="1" applyProtection="1">
      <alignment horizontal="left" vertical="center" wrapText="1"/>
      <protection hidden="1"/>
    </xf>
    <xf numFmtId="0" fontId="25" fillId="0" borderId="4" xfId="0" applyFont="1" applyBorder="1" applyAlignment="1" applyProtection="1">
      <alignment horizontal="left" vertical="center"/>
      <protection hidden="1"/>
    </xf>
    <xf numFmtId="0" fontId="25" fillId="0" borderId="5" xfId="0" applyFont="1" applyBorder="1" applyAlignment="1" applyProtection="1">
      <alignment horizontal="left" vertical="center"/>
      <protection hidden="1"/>
    </xf>
    <xf numFmtId="0" fontId="28" fillId="14" borderId="35" xfId="0" applyFont="1" applyFill="1" applyBorder="1" applyAlignment="1" applyProtection="1">
      <alignment horizontal="right" vertical="center" indent="1"/>
      <protection hidden="1"/>
    </xf>
    <xf numFmtId="0" fontId="28" fillId="14" borderId="36" xfId="0" applyFont="1" applyFill="1" applyBorder="1" applyAlignment="1" applyProtection="1">
      <alignment horizontal="right" vertical="center" indent="1"/>
      <protection hidden="1"/>
    </xf>
    <xf numFmtId="0" fontId="30" fillId="3" borderId="35" xfId="0" applyFont="1" applyFill="1" applyBorder="1" applyAlignment="1" applyProtection="1">
      <alignment horizontal="left" vertical="center"/>
      <protection hidden="1"/>
    </xf>
    <xf numFmtId="0" fontId="30" fillId="3" borderId="36" xfId="0" applyFont="1" applyFill="1" applyBorder="1" applyAlignment="1" applyProtection="1">
      <alignment horizontal="left" vertical="center"/>
      <protection hidden="1"/>
    </xf>
    <xf numFmtId="0" fontId="30" fillId="3" borderId="37" xfId="0" applyFont="1" applyFill="1" applyBorder="1" applyAlignment="1" applyProtection="1">
      <alignment horizontal="left" vertic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7" fillId="0" borderId="59" xfId="0" applyFont="1" applyBorder="1" applyAlignment="1" applyProtection="1">
      <alignment horizontal="left" vertical="center" wrapText="1"/>
      <protection hidden="1"/>
    </xf>
    <xf numFmtId="0" fontId="57" fillId="14" borderId="82" xfId="0" applyFont="1" applyFill="1" applyBorder="1" applyAlignment="1" applyProtection="1">
      <alignment horizontal="center" vertical="center" wrapText="1"/>
      <protection hidden="1"/>
    </xf>
    <xf numFmtId="0" fontId="58" fillId="14" borderId="82" xfId="0" applyFont="1" applyFill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left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hidden="1"/>
    </xf>
    <xf numFmtId="0" fontId="10" fillId="0" borderId="12" xfId="0" applyFont="1" applyBorder="1" applyAlignment="1" applyProtection="1">
      <alignment horizontal="left" vertical="center"/>
      <protection hidden="1"/>
    </xf>
    <xf numFmtId="0" fontId="10" fillId="0" borderId="34" xfId="0" applyFont="1" applyBorder="1" applyAlignment="1" applyProtection="1">
      <alignment horizontal="left" vertical="center"/>
      <protection hidden="1"/>
    </xf>
    <xf numFmtId="0" fontId="18" fillId="0" borderId="35" xfId="0" applyFont="1" applyBorder="1" applyAlignment="1" applyProtection="1">
      <alignment horizontal="center" vertical="center"/>
      <protection hidden="1"/>
    </xf>
    <xf numFmtId="0" fontId="18" fillId="0" borderId="36" xfId="0" applyFont="1" applyBorder="1" applyAlignment="1" applyProtection="1">
      <alignment horizontal="center" vertical="center"/>
      <protection hidden="1"/>
    </xf>
    <xf numFmtId="0" fontId="18" fillId="0" borderId="37" xfId="0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49" fontId="10" fillId="0" borderId="8" xfId="0" applyNumberFormat="1" applyFont="1" applyBorder="1" applyAlignment="1" applyProtection="1">
      <alignment horizontal="left" vertical="center"/>
      <protection hidden="1"/>
    </xf>
    <xf numFmtId="0" fontId="0" fillId="0" borderId="8" xfId="0" applyBorder="1"/>
    <xf numFmtId="0" fontId="0" fillId="0" borderId="9" xfId="0" applyBorder="1"/>
    <xf numFmtId="0" fontId="66" fillId="0" borderId="2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left" vertical="top"/>
      <protection hidden="1"/>
    </xf>
    <xf numFmtId="0" fontId="0" fillId="0" borderId="12" xfId="0" applyBorder="1"/>
    <xf numFmtId="0" fontId="0" fillId="0" borderId="34" xfId="0" applyBorder="1"/>
    <xf numFmtId="0" fontId="31" fillId="14" borderId="0" xfId="0" applyFont="1" applyFill="1" applyBorder="1" applyAlignment="1" applyProtection="1">
      <alignment horizontal="left"/>
      <protection hidden="1"/>
    </xf>
    <xf numFmtId="0" fontId="66" fillId="0" borderId="3" xfId="0" applyFont="1" applyBorder="1" applyAlignment="1" applyProtection="1">
      <alignment horizontal="center" vertical="center"/>
      <protection hidden="1"/>
    </xf>
    <xf numFmtId="0" fontId="66" fillId="0" borderId="5" xfId="0" applyFont="1" applyBorder="1" applyAlignment="1" applyProtection="1">
      <alignment horizontal="center" vertical="center"/>
      <protection hidden="1"/>
    </xf>
    <xf numFmtId="0" fontId="10" fillId="9" borderId="51" xfId="0" applyFont="1" applyFill="1" applyBorder="1" applyAlignment="1" applyProtection="1">
      <alignment horizontal="center" vertical="center" wrapText="1"/>
      <protection hidden="1"/>
    </xf>
    <xf numFmtId="0" fontId="10" fillId="9" borderId="13" xfId="0" applyFont="1" applyFill="1" applyBorder="1" applyAlignment="1" applyProtection="1">
      <alignment horizontal="center" vertical="center" wrapText="1"/>
      <protection hidden="1"/>
    </xf>
    <xf numFmtId="0" fontId="10" fillId="0" borderId="33" xfId="0" applyFont="1" applyBorder="1" applyAlignment="1" applyProtection="1">
      <alignment horizontal="right" vertical="top"/>
      <protection hidden="1"/>
    </xf>
    <xf numFmtId="0" fontId="10" fillId="0" borderId="12" xfId="0" applyFont="1" applyBorder="1" applyAlignment="1" applyProtection="1">
      <alignment horizontal="right" vertical="top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10" fillId="0" borderId="36" xfId="0" applyFont="1" applyBorder="1" applyAlignment="1" applyProtection="1">
      <alignment horizontal="center" vertical="center"/>
      <protection hidden="1"/>
    </xf>
    <xf numFmtId="0" fontId="10" fillId="0" borderId="37" xfId="0" applyFont="1" applyBorder="1" applyAlignment="1" applyProtection="1">
      <alignment horizontal="center" vertical="center"/>
      <protection hidden="1"/>
    </xf>
    <xf numFmtId="0" fontId="25" fillId="0" borderId="3" xfId="0" applyFont="1" applyBorder="1" applyAlignment="1" applyProtection="1">
      <alignment horizontal="left" vertical="center"/>
      <protection hidden="1"/>
    </xf>
    <xf numFmtId="0" fontId="25" fillId="0" borderId="2" xfId="0" applyFont="1" applyBorder="1" applyAlignment="1" applyProtection="1">
      <alignment horizontal="left" vertical="center" wrapText="1"/>
      <protection hidden="1"/>
    </xf>
    <xf numFmtId="0" fontId="25" fillId="0" borderId="2" xfId="0" applyFont="1" applyBorder="1" applyAlignment="1" applyProtection="1">
      <alignment horizontal="left" vertical="center"/>
      <protection hidden="1"/>
    </xf>
    <xf numFmtId="0" fontId="25" fillId="0" borderId="3" xfId="0" applyFont="1" applyBorder="1" applyAlignment="1" applyProtection="1">
      <alignment horizontal="left" vertical="center" wrapText="1"/>
      <protection hidden="1"/>
    </xf>
    <xf numFmtId="0" fontId="25" fillId="0" borderId="22" xfId="0" applyFont="1" applyBorder="1" applyAlignment="1" applyProtection="1">
      <alignment horizontal="left" vertical="center" wrapText="1"/>
      <protection hidden="1"/>
    </xf>
    <xf numFmtId="0" fontId="25" fillId="0" borderId="6" xfId="0" applyFont="1" applyBorder="1" applyAlignment="1" applyProtection="1">
      <alignment horizontal="left" vertical="center" wrapText="1"/>
      <protection hidden="1"/>
    </xf>
    <xf numFmtId="0" fontId="25" fillId="0" borderId="73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0" fillId="0" borderId="11" xfId="0" applyFont="1" applyBorder="1" applyAlignment="1" applyProtection="1">
      <alignment horizontal="left" vertical="center"/>
      <protection hidden="1"/>
    </xf>
    <xf numFmtId="0" fontId="52" fillId="3" borderId="90" xfId="0" applyFont="1" applyFill="1" applyBorder="1" applyAlignment="1" applyProtection="1">
      <alignment horizontal="left" vertical="center"/>
      <protection hidden="1"/>
    </xf>
    <xf numFmtId="0" fontId="52" fillId="3" borderId="91" xfId="0" applyFont="1" applyFill="1" applyBorder="1" applyAlignment="1" applyProtection="1">
      <alignment horizontal="left" vertical="center"/>
      <protection hidden="1"/>
    </xf>
    <xf numFmtId="0" fontId="52" fillId="3" borderId="92" xfId="0" applyFont="1" applyFill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0" fillId="0" borderId="16" xfId="0" applyFont="1" applyBorder="1" applyAlignment="1" applyProtection="1">
      <alignment horizontal="center" vertical="center"/>
      <protection hidden="1"/>
    </xf>
    <xf numFmtId="0" fontId="0" fillId="0" borderId="16" xfId="0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Protection="1">
      <protection hidden="1"/>
    </xf>
    <xf numFmtId="0" fontId="7" fillId="0" borderId="26" xfId="0" applyFont="1" applyBorder="1" applyAlignment="1" applyProtection="1">
      <alignment horizontal="left" vertical="center" wrapText="1"/>
      <protection hidden="1"/>
    </xf>
    <xf numFmtId="0" fontId="7" fillId="0" borderId="27" xfId="0" applyFont="1" applyBorder="1" applyAlignment="1" applyProtection="1">
      <alignment horizontal="left" vertical="center" wrapText="1"/>
      <protection hidden="1"/>
    </xf>
    <xf numFmtId="0" fontId="7" fillId="0" borderId="4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left" vertical="center"/>
      <protection hidden="1"/>
    </xf>
    <xf numFmtId="0" fontId="25" fillId="0" borderId="59" xfId="0" applyFont="1" applyBorder="1" applyAlignment="1" applyProtection="1">
      <alignment horizontal="left" vertical="center"/>
      <protection hidden="1"/>
    </xf>
    <xf numFmtId="0" fontId="25" fillId="0" borderId="31" xfId="0" applyFont="1" applyBorder="1" applyAlignment="1" applyProtection="1">
      <alignment horizontal="left" vertical="center"/>
      <protection hidden="1"/>
    </xf>
    <xf numFmtId="0" fontId="25" fillId="0" borderId="6" xfId="0" applyFont="1" applyBorder="1" applyAlignment="1" applyProtection="1">
      <alignment horizontal="left" vertical="center"/>
      <protection hidden="1"/>
    </xf>
    <xf numFmtId="0" fontId="25" fillId="0" borderId="73" xfId="0" applyFont="1" applyBorder="1" applyAlignment="1" applyProtection="1">
      <alignment horizontal="left" vertical="center"/>
      <protection hidden="1"/>
    </xf>
    <xf numFmtId="0" fontId="7" fillId="0" borderId="27" xfId="0" applyFont="1" applyBorder="1" applyAlignment="1" applyProtection="1">
      <alignment horizontal="left" vertical="top" wrapText="1"/>
      <protection hidden="1"/>
    </xf>
    <xf numFmtId="0" fontId="7" fillId="0" borderId="43" xfId="0" applyFont="1" applyBorder="1" applyAlignment="1" applyProtection="1">
      <alignment horizontal="left" vertical="top" wrapText="1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52" fillId="3" borderId="53" xfId="0" applyFont="1" applyFill="1" applyBorder="1" applyAlignment="1" applyProtection="1">
      <alignment horizontal="left" vertical="center"/>
      <protection hidden="1"/>
    </xf>
    <xf numFmtId="0" fontId="39" fillId="14" borderId="65" xfId="0" applyFont="1" applyFill="1" applyBorder="1" applyAlignment="1" applyProtection="1">
      <alignment horizontal="right" vertical="center" indent="1"/>
      <protection hidden="1"/>
    </xf>
    <xf numFmtId="0" fontId="39" fillId="14" borderId="57" xfId="0" applyFont="1" applyFill="1" applyBorder="1" applyAlignment="1" applyProtection="1">
      <alignment horizontal="right" vertical="center" indent="1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34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left" vertical="center"/>
      <protection hidden="1"/>
    </xf>
    <xf numFmtId="0" fontId="7" fillId="0" borderId="26" xfId="0" applyFont="1" applyBorder="1" applyAlignment="1" applyProtection="1">
      <alignment horizontal="left" vertical="center"/>
      <protection hidden="1"/>
    </xf>
    <xf numFmtId="0" fontId="7" fillId="0" borderId="27" xfId="0" applyFont="1" applyBorder="1" applyAlignment="1" applyProtection="1">
      <alignment horizontal="left" vertical="center"/>
      <protection hidden="1"/>
    </xf>
    <xf numFmtId="0" fontId="7" fillId="0" borderId="43" xfId="0" applyFont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54" fillId="0" borderId="35" xfId="0" applyFont="1" applyBorder="1" applyAlignment="1" applyProtection="1">
      <alignment horizontal="center" vertical="center"/>
      <protection hidden="1"/>
    </xf>
    <xf numFmtId="0" fontId="54" fillId="0" borderId="36" xfId="0" applyFont="1" applyBorder="1" applyAlignment="1" applyProtection="1">
      <alignment horizontal="center" vertical="center"/>
      <protection hidden="1"/>
    </xf>
    <xf numFmtId="0" fontId="54" fillId="0" borderId="37" xfId="0" applyFont="1" applyBorder="1" applyAlignment="1" applyProtection="1">
      <alignment horizontal="center" vertical="center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89" xfId="0" applyFont="1" applyBorder="1" applyAlignment="1" applyProtection="1">
      <alignment horizontal="center" vertical="center" wrapText="1"/>
      <protection hidden="1"/>
    </xf>
    <xf numFmtId="0" fontId="7" fillId="0" borderId="75" xfId="0" applyFont="1" applyBorder="1" applyAlignment="1" applyProtection="1">
      <alignment horizontal="center" vertical="center"/>
      <protection hidden="1"/>
    </xf>
    <xf numFmtId="0" fontId="7" fillId="0" borderId="79" xfId="0" applyFont="1" applyBorder="1" applyAlignment="1" applyProtection="1">
      <alignment horizontal="center" vertical="center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" fillId="0" borderId="12" xfId="0" applyFont="1" applyBorder="1" applyAlignment="1" applyProtection="1">
      <alignment horizontal="center" vertical="top" wrapText="1"/>
      <protection hidden="1"/>
    </xf>
    <xf numFmtId="0" fontId="7" fillId="0" borderId="34" xfId="0" applyFont="1" applyBorder="1" applyAlignment="1" applyProtection="1">
      <alignment horizontal="center" vertical="top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54" fillId="0" borderId="77" xfId="0" applyFont="1" applyBorder="1" applyAlignment="1" applyProtection="1">
      <alignment horizontal="center" vertical="center"/>
      <protection hidden="1"/>
    </xf>
    <xf numFmtId="0" fontId="54" fillId="0" borderId="4" xfId="0" applyFont="1" applyBorder="1" applyAlignment="1" applyProtection="1">
      <alignment horizontal="center" vertical="center"/>
      <protection hidden="1"/>
    </xf>
    <xf numFmtId="0" fontId="54" fillId="0" borderId="76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0" fontId="0" fillId="0" borderId="78" xfId="0" applyFont="1" applyBorder="1" applyAlignment="1" applyProtection="1">
      <alignment horizontal="center" vertical="center" wrapText="1"/>
      <protection hidden="1"/>
    </xf>
    <xf numFmtId="0" fontId="7" fillId="0" borderId="73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31" xfId="0" applyFont="1" applyBorder="1" applyAlignment="1" applyProtection="1">
      <alignment horizontal="center"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0" fontId="7" fillId="0" borderId="11" xfId="0" applyNumberFormat="1" applyFont="1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11" fillId="0" borderId="85" xfId="0" applyFont="1" applyBorder="1" applyAlignment="1" applyProtection="1">
      <alignment horizontal="center" vertical="center"/>
      <protection hidden="1"/>
    </xf>
    <xf numFmtId="0" fontId="11" fillId="0" borderId="59" xfId="0" applyFont="1" applyBorder="1" applyAlignment="1" applyProtection="1">
      <alignment horizontal="center" vertical="center"/>
      <protection hidden="1"/>
    </xf>
    <xf numFmtId="0" fontId="11" fillId="0" borderId="31" xfId="0" applyFont="1" applyBorder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center" vertical="center"/>
      <protection hidden="1"/>
    </xf>
    <xf numFmtId="0" fontId="8" fillId="0" borderId="59" xfId="0" applyFont="1" applyBorder="1" applyAlignment="1" applyProtection="1">
      <alignment horizontal="center" vertical="center"/>
      <protection hidden="1"/>
    </xf>
    <xf numFmtId="0" fontId="8" fillId="0" borderId="31" xfId="0" applyFont="1" applyBorder="1" applyAlignment="1" applyProtection="1">
      <alignment horizontal="center" vertical="center"/>
      <protection hidden="1"/>
    </xf>
    <xf numFmtId="0" fontId="7" fillId="0" borderId="22" xfId="0" applyFont="1" applyBorder="1" applyAlignment="1" applyProtection="1">
      <alignment horizontal="center" vertical="center"/>
      <protection hidden="1"/>
    </xf>
    <xf numFmtId="0" fontId="7" fillId="0" borderId="73" xfId="0" applyFont="1" applyBorder="1" applyAlignment="1" applyProtection="1">
      <alignment horizontal="center" vertical="center"/>
      <protection hidden="1"/>
    </xf>
    <xf numFmtId="0" fontId="7" fillId="0" borderId="75" xfId="0" applyFont="1" applyBorder="1" applyAlignment="1" applyProtection="1">
      <alignment horizontal="center" vertical="center" wrapText="1"/>
      <protection hidden="1"/>
    </xf>
    <xf numFmtId="0" fontId="7" fillId="0" borderId="79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7" fillId="0" borderId="85" xfId="0" applyFont="1" applyBorder="1" applyAlignment="1" applyProtection="1">
      <alignment horizontal="center" vertical="center" wrapText="1"/>
      <protection hidden="1"/>
    </xf>
    <xf numFmtId="0" fontId="1" fillId="0" borderId="77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51" fillId="0" borderId="10" xfId="0" applyFont="1" applyBorder="1" applyAlignment="1" applyProtection="1">
      <alignment horizontal="center" vertical="center"/>
      <protection hidden="1"/>
    </xf>
    <xf numFmtId="0" fontId="51" fillId="0" borderId="0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8" fillId="0" borderId="86" xfId="0" applyFont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center" vertical="center"/>
      <protection hidden="1"/>
    </xf>
    <xf numFmtId="0" fontId="8" fillId="0" borderId="43" xfId="0" applyFont="1" applyBorder="1" applyAlignment="1" applyProtection="1">
      <alignment horizontal="center" vertical="center"/>
      <protection hidden="1"/>
    </xf>
    <xf numFmtId="0" fontId="59" fillId="0" borderId="10" xfId="0" applyFont="1" applyBorder="1" applyAlignment="1" applyProtection="1">
      <alignment horizontal="right" vertical="center"/>
      <protection hidden="1"/>
    </xf>
    <xf numFmtId="0" fontId="59" fillId="0" borderId="0" xfId="0" applyFont="1" applyBorder="1" applyAlignment="1" applyProtection="1">
      <alignment horizontal="right" vertical="center"/>
      <protection hidden="1"/>
    </xf>
  </cellXfs>
  <cellStyles count="8">
    <cellStyle name="Hyperlink" xfId="1" builtinId="8"/>
    <cellStyle name="Normal" xfId="0" builtinId="0"/>
    <cellStyle name="Normal 2" xfId="2"/>
    <cellStyle name="Normal 3" xfId="7"/>
    <cellStyle name="Normal 4" xfId="5"/>
    <cellStyle name="Normal 6" xfId="6"/>
    <cellStyle name="Normal 7" xfId="3"/>
    <cellStyle name="Normal 8" xfId="4"/>
  </cellStyles>
  <dxfs count="0"/>
  <tableStyles count="0" defaultTableStyle="TableStyleMedium9" defaultPivotStyle="PivotStyleLight16"/>
  <colors>
    <mruColors>
      <color rgb="FF000099"/>
      <color rgb="FF006600"/>
      <color rgb="FFFF00FF"/>
      <color rgb="FF00FF00"/>
      <color rgb="FFFF33CC"/>
      <color rgb="FFFF66FF"/>
      <color rgb="FF008000"/>
      <color rgb="FF66FFFF"/>
      <color rgb="FFFF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750800</xdr:colOff>
      <xdr:row>17</xdr:row>
      <xdr:rowOff>224122</xdr:rowOff>
    </xdr:from>
    <xdr:to>
      <xdr:col>8</xdr:col>
      <xdr:colOff>134474</xdr:colOff>
      <xdr:row>18</xdr:row>
      <xdr:rowOff>336179</xdr:rowOff>
    </xdr:to>
    <xdr:sp macro="" textlink="">
      <xdr:nvSpPr>
        <xdr:cNvPr id="86" name="Bent Arrow 85"/>
        <xdr:cNvSpPr/>
      </xdr:nvSpPr>
      <xdr:spPr>
        <a:xfrm rot="5400000" flipV="1">
          <a:off x="5955932" y="6527431"/>
          <a:ext cx="605116" cy="795616"/>
        </a:xfrm>
        <a:prstGeom prst="bentArrow">
          <a:avLst>
            <a:gd name="adj1" fmla="val 17868"/>
            <a:gd name="adj2" fmla="val 21296"/>
            <a:gd name="adj3" fmla="val 27280"/>
            <a:gd name="adj4" fmla="val 43750"/>
          </a:avLst>
        </a:prstGeom>
        <a:solidFill>
          <a:srgbClr val="FF0000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400">
            <a:ln>
              <a:noFill/>
            </a:ln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14</xdr:col>
      <xdr:colOff>19050</xdr:colOff>
      <xdr:row>1</xdr:row>
      <xdr:rowOff>17648</xdr:rowOff>
    </xdr:from>
    <xdr:to>
      <xdr:col>15</xdr:col>
      <xdr:colOff>201707</xdr:colOff>
      <xdr:row>4</xdr:row>
      <xdr:rowOff>423863</xdr:rowOff>
    </xdr:to>
    <xdr:pic>
      <xdr:nvPicPr>
        <xdr:cNvPr id="4" name="Picture 3" descr="ARI Photo 2024.jpg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10000" contrast="10000"/>
        </a:blip>
        <a:srcRect l="13756" t="3489" r="12227" b="21643"/>
        <a:stretch>
          <a:fillRect/>
        </a:stretch>
      </xdr:blipFill>
      <xdr:spPr>
        <a:xfrm>
          <a:off x="13392150" y="217673"/>
          <a:ext cx="1268507" cy="163494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496561</xdr:colOff>
      <xdr:row>5</xdr:row>
      <xdr:rowOff>145677</xdr:rowOff>
    </xdr:from>
    <xdr:to>
      <xdr:col>10</xdr:col>
      <xdr:colOff>280147</xdr:colOff>
      <xdr:row>11</xdr:row>
      <xdr:rowOff>100853</xdr:rowOff>
    </xdr:to>
    <xdr:sp macro="" textlink="">
      <xdr:nvSpPr>
        <xdr:cNvPr id="3" name="Down Arrow 2"/>
        <xdr:cNvSpPr/>
      </xdr:nvSpPr>
      <xdr:spPr>
        <a:xfrm>
          <a:off x="7052002" y="1848971"/>
          <a:ext cx="545586" cy="2241176"/>
        </a:xfrm>
        <a:prstGeom prst="downArrow">
          <a:avLst>
            <a:gd name="adj1" fmla="val 50000"/>
            <a:gd name="adj2" fmla="val 64332"/>
          </a:avLst>
        </a:prstGeom>
        <a:solidFill>
          <a:srgbClr val="000099"/>
        </a:solidFill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45</xdr:row>
      <xdr:rowOff>9525</xdr:rowOff>
    </xdr:from>
    <xdr:to>
      <xdr:col>8</xdr:col>
      <xdr:colOff>809625</xdr:colOff>
      <xdr:row>45</xdr:row>
      <xdr:rowOff>247650</xdr:rowOff>
    </xdr:to>
    <xdr:sp macro="" textlink="">
      <xdr:nvSpPr>
        <xdr:cNvPr id="4" name="Rectangle 3"/>
        <xdr:cNvSpPr/>
      </xdr:nvSpPr>
      <xdr:spPr>
        <a:xfrm>
          <a:off x="4476750" y="10496550"/>
          <a:ext cx="168592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(</a:t>
          </a:r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n-US" sz="1400" b="1">
              <a:solidFill>
                <a:schemeClr val="bg1"/>
              </a:solidFill>
            </a:rPr>
            <a:t>   </a:t>
          </a:r>
          <a:r>
            <a:rPr lang="en-US" sz="1400" b="1" baseline="0">
              <a:solidFill>
                <a:schemeClr val="bg1"/>
              </a:solidFill>
            </a:rPr>
            <a:t>             </a:t>
          </a:r>
          <a:r>
            <a:rPr lang="en-US" sz="1400" b="1">
              <a:solidFill>
                <a:schemeClr val="bg1"/>
              </a:solidFill>
            </a:rPr>
            <a:t>+              </a:t>
          </a:r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n-US" sz="1400" b="1">
              <a:solidFill>
                <a:schemeClr val="bg1"/>
              </a:solidFill>
            </a:rPr>
            <a:t>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9523</xdr:colOff>
      <xdr:row>47</xdr:row>
      <xdr:rowOff>9525</xdr:rowOff>
    </xdr:from>
    <xdr:to>
      <xdr:col>8</xdr:col>
      <xdr:colOff>714374</xdr:colOff>
      <xdr:row>47</xdr:row>
      <xdr:rowOff>209550</xdr:rowOff>
    </xdr:to>
    <xdr:sp macro="" textlink="">
      <xdr:nvSpPr>
        <xdr:cNvPr id="2" name="Rectangle 1"/>
        <xdr:cNvSpPr/>
      </xdr:nvSpPr>
      <xdr:spPr>
        <a:xfrm>
          <a:off x="4800598" y="20878800"/>
          <a:ext cx="1504951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chemeClr val="bg1"/>
              </a:solidFill>
            </a:rPr>
            <a:t>(</a:t>
          </a:r>
          <a:r>
            <a:rPr lang="en-US" sz="1400" b="1" baseline="0">
              <a:solidFill>
                <a:schemeClr val="bg1"/>
              </a:solidFill>
            </a:rPr>
            <a:t> </a:t>
          </a:r>
          <a:r>
            <a:rPr lang="en-US" sz="1400" b="1">
              <a:solidFill>
                <a:schemeClr val="bg1"/>
              </a:solidFill>
            </a:rPr>
            <a:t>     </a:t>
          </a:r>
          <a:r>
            <a:rPr lang="en-US" sz="1400" b="1" baseline="0">
              <a:solidFill>
                <a:schemeClr val="bg1"/>
              </a:solidFill>
            </a:rPr>
            <a:t>         </a:t>
          </a:r>
          <a:r>
            <a:rPr lang="en-US" sz="1400" b="1">
              <a:solidFill>
                <a:schemeClr val="bg1"/>
              </a:solidFill>
            </a:rPr>
            <a:t>+         </a:t>
          </a:r>
          <a:r>
            <a:rPr lang="en-US" sz="1400" b="1" baseline="0">
              <a:solidFill>
                <a:schemeClr val="bg1"/>
              </a:solidFill>
            </a:rPr>
            <a:t>   </a:t>
          </a:r>
          <a:r>
            <a:rPr lang="en-US" sz="1400" b="1">
              <a:solidFill>
                <a:schemeClr val="bg1"/>
              </a:solidFill>
            </a:rPr>
            <a:t>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rtlCol="0" anchor="ctr"/>
      <a:lstStyle>
        <a:defPPr algn="ctr">
          <a:defRPr sz="14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istorydesc.blogspot.com/2024/12/IT-Form-New-and-Old-Regime-FY2024-25.html" TargetMode="External"/><Relationship Id="rId2" Type="http://schemas.openxmlformats.org/officeDocument/2006/relationships/hyperlink" Target="https://historydesc.blogspot.com/2024/12/IT-Form-New-and-Old-Regime-FY2024-25.html" TargetMode="External"/><Relationship Id="rId1" Type="http://schemas.openxmlformats.org/officeDocument/2006/relationships/hyperlink" Target="https://historydesc.blogspot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historydesc.blogspot.com/2024/12/IT-Form-New-and-Old-Regime-FY2024-25.html" TargetMode="External"/><Relationship Id="rId1" Type="http://schemas.openxmlformats.org/officeDocument/2006/relationships/hyperlink" Target="https://historydesc.blogspot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70"/>
  <sheetViews>
    <sheetView showGridLines="0" tabSelected="1" zoomScale="85" zoomScaleNormal="85" zoomScaleSheetLayoutView="85" workbookViewId="0">
      <selection activeCell="H6" sqref="H6"/>
    </sheetView>
  </sheetViews>
  <sheetFormatPr defaultRowHeight="15"/>
  <cols>
    <col min="1" max="1" width="2.85546875" style="25" customWidth="1"/>
    <col min="2" max="2" width="3.42578125" style="25" customWidth="1"/>
    <col min="3" max="3" width="14.5703125" style="25" customWidth="1"/>
    <col min="4" max="4" width="21.28515625" style="25" customWidth="1"/>
    <col min="5" max="5" width="18" style="25" customWidth="1"/>
    <col min="6" max="6" width="16.5703125" style="25" customWidth="1"/>
    <col min="7" max="7" width="17.140625" style="25" customWidth="1"/>
    <col min="8" max="8" width="4" style="43" customWidth="1"/>
    <col min="9" max="9" width="13.42578125" style="43" customWidth="1"/>
    <col min="10" max="10" width="27.140625" style="25" customWidth="1"/>
    <col min="11" max="11" width="16.28515625" style="25" customWidth="1"/>
    <col min="12" max="12" width="4" style="25" customWidth="1"/>
    <col min="13" max="13" width="24.7109375" style="25" customWidth="1"/>
    <col min="14" max="14" width="17.140625" style="25" customWidth="1"/>
    <col min="15" max="15" width="16.28515625" style="25" customWidth="1"/>
    <col min="16" max="16" width="3.28515625" style="25" customWidth="1"/>
    <col min="17" max="17" width="2.85546875" style="25" customWidth="1"/>
    <col min="18" max="16384" width="9.140625" style="25"/>
  </cols>
  <sheetData>
    <row r="1" spans="1:25" ht="15.75" thickBot="1">
      <c r="A1" s="459"/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</row>
    <row r="2" spans="1:25" ht="29.25" customHeight="1" thickTop="1" thickBot="1">
      <c r="A2" s="89"/>
      <c r="C2" s="422" t="s">
        <v>254</v>
      </c>
      <c r="D2" s="422"/>
      <c r="E2" s="422"/>
      <c r="F2" s="422"/>
      <c r="G2" s="422"/>
      <c r="H2" s="422"/>
      <c r="I2" s="422"/>
      <c r="J2" s="422"/>
      <c r="K2" s="422"/>
      <c r="L2" s="80"/>
      <c r="M2" s="427" t="s">
        <v>382</v>
      </c>
      <c r="N2" s="427"/>
      <c r="O2" s="427"/>
      <c r="P2" s="427"/>
      <c r="Q2" s="89"/>
    </row>
    <row r="3" spans="1:25" ht="33" customHeight="1" thickTop="1" thickBot="1">
      <c r="A3" s="89"/>
      <c r="B3" s="67"/>
      <c r="C3" s="421" t="s">
        <v>90</v>
      </c>
      <c r="D3" s="421"/>
      <c r="E3" s="421"/>
      <c r="F3" s="421"/>
      <c r="G3" s="421"/>
      <c r="I3" s="423" t="s">
        <v>64</v>
      </c>
      <c r="J3" s="423"/>
      <c r="K3" s="423"/>
      <c r="M3" s="426" t="s">
        <v>92</v>
      </c>
      <c r="N3" s="426"/>
      <c r="O3" s="427"/>
      <c r="P3" s="427"/>
      <c r="Q3" s="89"/>
    </row>
    <row r="4" spans="1:25" ht="34.5" customHeight="1" thickTop="1" thickBot="1">
      <c r="A4" s="89"/>
      <c r="B4" s="68"/>
      <c r="C4" s="428" t="s">
        <v>22</v>
      </c>
      <c r="D4" s="429"/>
      <c r="E4" s="420" t="s">
        <v>93</v>
      </c>
      <c r="F4" s="420"/>
      <c r="G4" s="420"/>
      <c r="I4" s="432" t="s">
        <v>370</v>
      </c>
      <c r="J4" s="433"/>
      <c r="K4" s="434"/>
      <c r="M4" s="309" t="s">
        <v>91</v>
      </c>
      <c r="N4" s="307">
        <f>SUM('NEW P1'!I32)</f>
        <v>0</v>
      </c>
      <c r="O4" s="427"/>
      <c r="P4" s="427"/>
      <c r="Q4" s="89"/>
    </row>
    <row r="5" spans="1:25" ht="34.5" customHeight="1" thickTop="1" thickBot="1">
      <c r="A5" s="89"/>
      <c r="B5" s="68"/>
      <c r="C5" s="430" t="s">
        <v>23</v>
      </c>
      <c r="D5" s="431"/>
      <c r="E5" s="419" t="s">
        <v>348</v>
      </c>
      <c r="F5" s="419"/>
      <c r="G5" s="419"/>
      <c r="I5" s="435"/>
      <c r="J5" s="436"/>
      <c r="K5" s="437"/>
      <c r="M5" s="310" t="s">
        <v>169</v>
      </c>
      <c r="N5" s="308">
        <f>SUM('OLD P2'!I31)</f>
        <v>0</v>
      </c>
      <c r="O5" s="427"/>
      <c r="P5" s="427"/>
      <c r="Q5" s="89"/>
    </row>
    <row r="6" spans="1:25" ht="39" customHeight="1" thickBot="1">
      <c r="A6" s="89"/>
      <c r="B6" s="68"/>
      <c r="C6" s="418" t="s">
        <v>251</v>
      </c>
      <c r="D6" s="418"/>
      <c r="E6" s="418"/>
      <c r="F6" s="418"/>
      <c r="G6" s="418"/>
      <c r="H6" s="78"/>
      <c r="I6" s="424" t="s">
        <v>241</v>
      </c>
      <c r="J6" s="425"/>
      <c r="K6" s="425"/>
      <c r="L6" s="425"/>
      <c r="M6" s="425"/>
      <c r="N6" s="425"/>
      <c r="O6" s="425"/>
      <c r="Q6" s="89"/>
      <c r="S6" s="78"/>
      <c r="T6" s="78"/>
      <c r="U6" s="78"/>
      <c r="V6" s="78"/>
      <c r="W6" s="78"/>
      <c r="X6" s="78"/>
      <c r="Y6" s="78"/>
    </row>
    <row r="7" spans="1:25" s="47" customFormat="1" ht="30" customHeight="1" thickBot="1">
      <c r="A7" s="90"/>
      <c r="B7" s="52"/>
      <c r="C7" s="396" t="s">
        <v>29</v>
      </c>
      <c r="D7" s="396"/>
      <c r="E7" s="396"/>
      <c r="F7" s="396"/>
      <c r="G7" s="396"/>
      <c r="H7" s="69"/>
      <c r="I7" s="387" t="s">
        <v>369</v>
      </c>
      <c r="J7" s="387"/>
      <c r="K7" s="387"/>
      <c r="M7" s="351" t="s">
        <v>101</v>
      </c>
      <c r="N7" s="352"/>
      <c r="O7" s="397"/>
      <c r="Q7" s="90"/>
    </row>
    <row r="8" spans="1:25" ht="30" customHeight="1" thickBot="1">
      <c r="A8" s="89"/>
      <c r="B8" s="68"/>
      <c r="C8" s="398" t="s">
        <v>25</v>
      </c>
      <c r="D8" s="399"/>
      <c r="E8" s="393"/>
      <c r="F8" s="393"/>
      <c r="G8" s="393"/>
      <c r="H8" s="70"/>
      <c r="I8" s="366" t="s">
        <v>31</v>
      </c>
      <c r="J8" s="366"/>
      <c r="K8" s="82"/>
      <c r="M8" s="394" t="s">
        <v>153</v>
      </c>
      <c r="N8" s="395"/>
      <c r="O8" s="101">
        <v>7</v>
      </c>
      <c r="Q8" s="89"/>
    </row>
    <row r="9" spans="1:25" ht="30" customHeight="1" thickBot="1">
      <c r="A9" s="89"/>
      <c r="B9" s="68"/>
      <c r="C9" s="394" t="s">
        <v>26</v>
      </c>
      <c r="D9" s="395"/>
      <c r="E9" s="391"/>
      <c r="F9" s="391"/>
      <c r="G9" s="391"/>
      <c r="H9" s="71"/>
      <c r="I9" s="367" t="s">
        <v>70</v>
      </c>
      <c r="J9" s="367"/>
      <c r="K9" s="83"/>
      <c r="M9" s="374" t="s">
        <v>142</v>
      </c>
      <c r="N9" s="375"/>
      <c r="O9" s="392"/>
      <c r="Q9" s="89"/>
    </row>
    <row r="10" spans="1:25" ht="30" customHeight="1" thickBot="1">
      <c r="A10" s="89"/>
      <c r="B10" s="68"/>
      <c r="C10" s="462" t="s">
        <v>27</v>
      </c>
      <c r="D10" s="463"/>
      <c r="E10" s="404"/>
      <c r="F10" s="405"/>
      <c r="G10" s="406"/>
      <c r="H10" s="70"/>
      <c r="I10" s="366" t="s">
        <v>4</v>
      </c>
      <c r="J10" s="366"/>
      <c r="K10" s="82"/>
      <c r="M10" s="369" t="s">
        <v>150</v>
      </c>
      <c r="N10" s="371"/>
      <c r="O10" s="83">
        <v>0</v>
      </c>
      <c r="Q10" s="89"/>
    </row>
    <row r="11" spans="1:25" ht="30" customHeight="1" thickBot="1">
      <c r="A11" s="89"/>
      <c r="B11" s="68"/>
      <c r="C11" s="394" t="s">
        <v>30</v>
      </c>
      <c r="D11" s="395"/>
      <c r="E11" s="357"/>
      <c r="F11" s="358"/>
      <c r="G11" s="359"/>
      <c r="H11" s="70"/>
      <c r="I11" s="367" t="s">
        <v>5</v>
      </c>
      <c r="J11" s="367"/>
      <c r="K11" s="83">
        <v>300</v>
      </c>
      <c r="M11" s="384" t="s">
        <v>242</v>
      </c>
      <c r="N11" s="385"/>
      <c r="O11" s="83"/>
      <c r="Q11" s="89"/>
    </row>
    <row r="12" spans="1:25" ht="30" customHeight="1" thickBot="1">
      <c r="A12" s="89"/>
      <c r="B12" s="68"/>
      <c r="C12" s="462" t="s">
        <v>88</v>
      </c>
      <c r="D12" s="463"/>
      <c r="E12" s="388"/>
      <c r="F12" s="388"/>
      <c r="G12" s="388"/>
      <c r="H12" s="72"/>
      <c r="I12" s="366" t="s">
        <v>32</v>
      </c>
      <c r="J12" s="366"/>
      <c r="K12" s="82"/>
      <c r="M12" s="361" t="s">
        <v>132</v>
      </c>
      <c r="N12" s="362"/>
      <c r="O12" s="363"/>
      <c r="Q12" s="89"/>
    </row>
    <row r="13" spans="1:25" ht="30" customHeight="1" thickBot="1">
      <c r="A13" s="89"/>
      <c r="B13" s="68"/>
      <c r="C13" s="400" t="s">
        <v>28</v>
      </c>
      <c r="D13" s="401"/>
      <c r="E13" s="389"/>
      <c r="F13" s="389"/>
      <c r="G13" s="389"/>
      <c r="H13" s="73"/>
      <c r="I13" s="364" t="s">
        <v>99</v>
      </c>
      <c r="J13" s="364"/>
      <c r="K13" s="83"/>
      <c r="M13" s="454" t="s">
        <v>95</v>
      </c>
      <c r="N13" s="455"/>
      <c r="O13" s="79"/>
      <c r="Q13" s="89"/>
    </row>
    <row r="14" spans="1:25" ht="30" customHeight="1" thickBot="1">
      <c r="A14" s="89"/>
      <c r="B14" s="68"/>
      <c r="C14" s="402" t="s">
        <v>24</v>
      </c>
      <c r="D14" s="403"/>
      <c r="E14" s="390"/>
      <c r="F14" s="390"/>
      <c r="G14" s="390"/>
      <c r="H14" s="74"/>
      <c r="I14" s="366" t="s">
        <v>122</v>
      </c>
      <c r="J14" s="366"/>
      <c r="K14" s="83"/>
      <c r="M14" s="460" t="s">
        <v>96</v>
      </c>
      <c r="N14" s="461"/>
      <c r="O14" s="102"/>
      <c r="Q14" s="89"/>
    </row>
    <row r="15" spans="1:25" ht="30" customHeight="1" thickBot="1">
      <c r="A15" s="89"/>
      <c r="B15" s="68"/>
      <c r="C15" s="394" t="s">
        <v>89</v>
      </c>
      <c r="D15" s="395"/>
      <c r="E15" s="391"/>
      <c r="F15" s="391"/>
      <c r="G15" s="391"/>
      <c r="H15" s="70"/>
      <c r="I15" s="364" t="s">
        <v>34</v>
      </c>
      <c r="J15" s="364"/>
      <c r="K15" s="293"/>
      <c r="M15" s="380" t="s">
        <v>97</v>
      </c>
      <c r="N15" s="381"/>
      <c r="O15" s="102"/>
      <c r="Q15" s="89"/>
    </row>
    <row r="16" spans="1:25" ht="30" customHeight="1" thickBot="1">
      <c r="A16" s="89"/>
      <c r="B16" s="68"/>
      <c r="C16" s="398" t="s">
        <v>138</v>
      </c>
      <c r="D16" s="399"/>
      <c r="E16" s="391"/>
      <c r="F16" s="391"/>
      <c r="G16" s="391"/>
      <c r="H16" s="70"/>
      <c r="I16" s="365" t="s">
        <v>123</v>
      </c>
      <c r="J16" s="365"/>
      <c r="K16" s="293"/>
      <c r="M16" s="382" t="s">
        <v>98</v>
      </c>
      <c r="N16" s="383"/>
      <c r="O16" s="86"/>
      <c r="Q16" s="89"/>
    </row>
    <row r="17" spans="1:17" s="43" customFormat="1" ht="30" customHeight="1" thickBot="1">
      <c r="A17" s="91"/>
      <c r="B17" s="70"/>
      <c r="C17" s="394" t="s">
        <v>94</v>
      </c>
      <c r="D17" s="395"/>
      <c r="E17" s="391"/>
      <c r="F17" s="391"/>
      <c r="G17" s="391"/>
      <c r="H17" s="70"/>
      <c r="I17" s="364" t="s">
        <v>131</v>
      </c>
      <c r="J17" s="364"/>
      <c r="K17" s="82"/>
      <c r="L17" s="92"/>
      <c r="M17" s="380" t="s">
        <v>112</v>
      </c>
      <c r="N17" s="381"/>
      <c r="O17" s="293"/>
      <c r="Q17" s="91"/>
    </row>
    <row r="18" spans="1:17" s="47" customFormat="1" ht="39" customHeight="1" thickBot="1">
      <c r="A18" s="90"/>
      <c r="B18" s="52"/>
      <c r="C18" s="360" t="s">
        <v>250</v>
      </c>
      <c r="D18" s="360"/>
      <c r="E18" s="360"/>
      <c r="F18" s="360"/>
      <c r="G18" s="360"/>
      <c r="H18" s="70"/>
      <c r="I18" s="360" t="s">
        <v>152</v>
      </c>
      <c r="J18" s="360"/>
      <c r="K18" s="360"/>
      <c r="M18" s="360" t="s">
        <v>240</v>
      </c>
      <c r="N18" s="360"/>
      <c r="O18" s="360"/>
      <c r="Q18" s="90"/>
    </row>
    <row r="19" spans="1:17" ht="30" customHeight="1" thickBot="1">
      <c r="A19" s="89"/>
      <c r="B19" s="68"/>
      <c r="C19" s="351" t="s">
        <v>243</v>
      </c>
      <c r="D19" s="352"/>
      <c r="E19" s="352"/>
      <c r="F19" s="352"/>
      <c r="G19" s="353"/>
      <c r="H19" s="75"/>
      <c r="I19" s="465" t="s">
        <v>371</v>
      </c>
      <c r="J19" s="466"/>
      <c r="K19" s="467"/>
      <c r="M19" s="373" t="s">
        <v>140</v>
      </c>
      <c r="N19" s="373"/>
      <c r="O19" s="373"/>
      <c r="Q19" s="89"/>
    </row>
    <row r="20" spans="1:17" ht="30" customHeight="1" thickBot="1">
      <c r="A20" s="89"/>
      <c r="B20" s="68"/>
      <c r="C20" s="464" t="s">
        <v>115</v>
      </c>
      <c r="D20" s="464"/>
      <c r="E20" s="341" t="s">
        <v>114</v>
      </c>
      <c r="F20" s="341" t="s">
        <v>71</v>
      </c>
      <c r="G20" s="341" t="s">
        <v>128</v>
      </c>
      <c r="H20" s="70"/>
      <c r="I20" s="417" t="s">
        <v>65</v>
      </c>
      <c r="J20" s="417"/>
      <c r="K20" s="85">
        <v>2</v>
      </c>
      <c r="M20" s="378" t="s">
        <v>211</v>
      </c>
      <c r="N20" s="379"/>
      <c r="O20" s="109">
        <v>0</v>
      </c>
      <c r="Q20" s="89"/>
    </row>
    <row r="21" spans="1:17" ht="30" customHeight="1" thickBot="1">
      <c r="A21" s="89"/>
      <c r="B21" s="68"/>
      <c r="C21" s="386" t="s">
        <v>77</v>
      </c>
      <c r="D21" s="386"/>
      <c r="E21" s="173"/>
      <c r="F21" s="338"/>
      <c r="G21" s="84">
        <v>0</v>
      </c>
      <c r="H21" s="70"/>
      <c r="I21" s="415" t="s">
        <v>2</v>
      </c>
      <c r="J21" s="415"/>
      <c r="K21" s="86">
        <v>110</v>
      </c>
      <c r="M21" s="374" t="s">
        <v>143</v>
      </c>
      <c r="N21" s="375"/>
      <c r="O21" s="376"/>
      <c r="Q21" s="89"/>
    </row>
    <row r="22" spans="1:17" ht="30" customHeight="1" thickBot="1">
      <c r="A22" s="89"/>
      <c r="B22" s="68"/>
      <c r="C22" s="407" t="s">
        <v>76</v>
      </c>
      <c r="D22" s="407"/>
      <c r="E22" s="174"/>
      <c r="F22" s="339"/>
      <c r="G22" s="100">
        <f t="shared" ref="G22:G32" si="0">(G21)</f>
        <v>0</v>
      </c>
      <c r="H22" s="70"/>
      <c r="I22" s="417" t="s">
        <v>1</v>
      </c>
      <c r="J22" s="417"/>
      <c r="K22" s="85">
        <v>70</v>
      </c>
      <c r="M22" s="369" t="s">
        <v>150</v>
      </c>
      <c r="N22" s="371"/>
      <c r="O22" s="99">
        <v>0</v>
      </c>
      <c r="Q22" s="89"/>
    </row>
    <row r="23" spans="1:17" ht="30" customHeight="1" thickBot="1">
      <c r="A23" s="89"/>
      <c r="B23" s="68"/>
      <c r="C23" s="386" t="s">
        <v>78</v>
      </c>
      <c r="D23" s="386"/>
      <c r="E23" s="174"/>
      <c r="F23" s="339"/>
      <c r="G23" s="100">
        <f t="shared" si="0"/>
        <v>0</v>
      </c>
      <c r="H23" s="70"/>
      <c r="I23" s="415" t="s">
        <v>3</v>
      </c>
      <c r="J23" s="415"/>
      <c r="K23" s="86">
        <v>300</v>
      </c>
      <c r="M23" s="384" t="s">
        <v>151</v>
      </c>
      <c r="N23" s="385"/>
      <c r="O23" s="83"/>
      <c r="Q23" s="89"/>
    </row>
    <row r="24" spans="1:17" ht="30" customHeight="1" thickBot="1">
      <c r="A24" s="89"/>
      <c r="B24" s="68"/>
      <c r="C24" s="407" t="s">
        <v>79</v>
      </c>
      <c r="D24" s="407"/>
      <c r="E24" s="174"/>
      <c r="F24" s="339"/>
      <c r="G24" s="100">
        <f t="shared" si="0"/>
        <v>0</v>
      </c>
      <c r="H24" s="70"/>
      <c r="I24" s="453" t="s">
        <v>162</v>
      </c>
      <c r="J24" s="346" t="s">
        <v>159</v>
      </c>
      <c r="K24" s="293"/>
      <c r="M24" s="361" t="s">
        <v>133</v>
      </c>
      <c r="N24" s="362"/>
      <c r="O24" s="363"/>
      <c r="Q24" s="89"/>
    </row>
    <row r="25" spans="1:17" ht="30" customHeight="1" thickBot="1">
      <c r="A25" s="89"/>
      <c r="B25" s="76"/>
      <c r="C25" s="386" t="s">
        <v>80</v>
      </c>
      <c r="D25" s="386"/>
      <c r="E25" s="174"/>
      <c r="F25" s="339"/>
      <c r="G25" s="100">
        <f t="shared" si="0"/>
        <v>0</v>
      </c>
      <c r="H25" s="70"/>
      <c r="I25" s="453"/>
      <c r="J25" s="334" t="s">
        <v>161</v>
      </c>
      <c r="K25" s="293"/>
      <c r="L25" s="88"/>
      <c r="M25" s="454" t="s">
        <v>95</v>
      </c>
      <c r="N25" s="455"/>
      <c r="O25" s="79"/>
      <c r="Q25" s="89"/>
    </row>
    <row r="26" spans="1:17" ht="30" customHeight="1" thickBot="1">
      <c r="A26" s="89"/>
      <c r="B26" s="76"/>
      <c r="C26" s="407" t="s">
        <v>81</v>
      </c>
      <c r="D26" s="407"/>
      <c r="E26" s="174"/>
      <c r="F26" s="339"/>
      <c r="G26" s="100">
        <f t="shared" si="0"/>
        <v>0</v>
      </c>
      <c r="H26" s="77"/>
      <c r="I26" s="453"/>
      <c r="J26" s="346" t="s">
        <v>160</v>
      </c>
      <c r="K26" s="86"/>
      <c r="M26" s="460" t="s">
        <v>96</v>
      </c>
      <c r="N26" s="461"/>
      <c r="O26" s="102"/>
      <c r="Q26" s="89"/>
    </row>
    <row r="27" spans="1:17" ht="30" customHeight="1" thickBot="1">
      <c r="A27" s="89"/>
      <c r="B27" s="76"/>
      <c r="C27" s="386" t="s">
        <v>82</v>
      </c>
      <c r="D27" s="386"/>
      <c r="E27" s="174"/>
      <c r="F27" s="339"/>
      <c r="G27" s="100">
        <f t="shared" si="0"/>
        <v>0</v>
      </c>
      <c r="H27" s="349"/>
      <c r="I27" s="458" t="s">
        <v>381</v>
      </c>
      <c r="J27" s="458"/>
      <c r="K27" s="458"/>
      <c r="L27" s="350"/>
      <c r="M27" s="380" t="s">
        <v>97</v>
      </c>
      <c r="N27" s="381"/>
      <c r="O27" s="102"/>
      <c r="Q27" s="89"/>
    </row>
    <row r="28" spans="1:17" ht="30" customHeight="1" thickBot="1">
      <c r="A28" s="89"/>
      <c r="B28" s="76"/>
      <c r="C28" s="407" t="s">
        <v>83</v>
      </c>
      <c r="D28" s="407"/>
      <c r="E28" s="174"/>
      <c r="F28" s="339"/>
      <c r="G28" s="100">
        <f t="shared" si="0"/>
        <v>0</v>
      </c>
      <c r="H28" s="77"/>
      <c r="I28" s="413" t="s">
        <v>33</v>
      </c>
      <c r="J28" s="414"/>
      <c r="K28" s="414"/>
      <c r="M28" s="382" t="s">
        <v>98</v>
      </c>
      <c r="N28" s="383"/>
      <c r="O28" s="86"/>
      <c r="Q28" s="89"/>
    </row>
    <row r="29" spans="1:17" ht="30" customHeight="1" thickBot="1">
      <c r="A29" s="89"/>
      <c r="B29" s="76"/>
      <c r="C29" s="386" t="s">
        <v>84</v>
      </c>
      <c r="D29" s="386"/>
      <c r="E29" s="174"/>
      <c r="F29" s="339"/>
      <c r="G29" s="100">
        <f t="shared" si="0"/>
        <v>0</v>
      </c>
      <c r="H29" s="77"/>
      <c r="I29" s="411" t="s">
        <v>372</v>
      </c>
      <c r="J29" s="343" t="s">
        <v>154</v>
      </c>
      <c r="K29" s="99">
        <v>4</v>
      </c>
      <c r="M29" s="380" t="s">
        <v>112</v>
      </c>
      <c r="N29" s="381"/>
      <c r="O29" s="293"/>
      <c r="Q29" s="89"/>
    </row>
    <row r="30" spans="1:17" ht="30" customHeight="1" thickBot="1">
      <c r="A30" s="89"/>
      <c r="B30" s="76"/>
      <c r="C30" s="407" t="s">
        <v>85</v>
      </c>
      <c r="D30" s="407"/>
      <c r="E30" s="174"/>
      <c r="F30" s="339"/>
      <c r="G30" s="100">
        <f t="shared" si="0"/>
        <v>0</v>
      </c>
      <c r="H30" s="77"/>
      <c r="I30" s="412"/>
      <c r="J30" s="333" t="s">
        <v>158</v>
      </c>
      <c r="K30" s="99">
        <f>SUM('NEW P2'!AC19)</f>
        <v>0</v>
      </c>
      <c r="M30" s="170"/>
      <c r="N30" s="170"/>
      <c r="O30" s="170"/>
      <c r="Q30" s="89"/>
    </row>
    <row r="31" spans="1:17" ht="30" customHeight="1" thickBot="1">
      <c r="A31" s="89"/>
      <c r="B31" s="76"/>
      <c r="C31" s="386" t="s">
        <v>86</v>
      </c>
      <c r="D31" s="386"/>
      <c r="E31" s="174"/>
      <c r="F31" s="339"/>
      <c r="G31" s="100">
        <f t="shared" si="0"/>
        <v>0</v>
      </c>
      <c r="H31" s="77"/>
      <c r="I31" s="412"/>
      <c r="J31" s="347" t="s">
        <v>157</v>
      </c>
      <c r="K31" s="293">
        <f>IF(K20=1,"",SUM('NEW P2'!AD19))</f>
        <v>0</v>
      </c>
      <c r="M31" s="368" t="s">
        <v>380</v>
      </c>
      <c r="N31" s="368"/>
      <c r="O31" s="368"/>
      <c r="Q31" s="89"/>
    </row>
    <row r="32" spans="1:17" ht="30" customHeight="1" thickBot="1">
      <c r="A32" s="89"/>
      <c r="B32" s="76"/>
      <c r="C32" s="407" t="s">
        <v>87</v>
      </c>
      <c r="D32" s="407"/>
      <c r="E32" s="175"/>
      <c r="F32" s="340"/>
      <c r="G32" s="100">
        <f t="shared" si="0"/>
        <v>0</v>
      </c>
      <c r="H32" s="77"/>
      <c r="I32" s="408" t="s">
        <v>373</v>
      </c>
      <c r="J32" s="342" t="s">
        <v>155</v>
      </c>
      <c r="K32" s="99">
        <v>10</v>
      </c>
      <c r="M32" s="368"/>
      <c r="N32" s="368"/>
      <c r="O32" s="368"/>
      <c r="Q32" s="89"/>
    </row>
    <row r="33" spans="1:17" ht="30" customHeight="1" thickBot="1">
      <c r="A33" s="89"/>
      <c r="B33" s="76"/>
      <c r="C33" s="410" t="s">
        <v>248</v>
      </c>
      <c r="D33" s="410"/>
      <c r="E33" s="410"/>
      <c r="F33" s="410"/>
      <c r="G33" s="416" t="s">
        <v>102</v>
      </c>
      <c r="H33" s="77"/>
      <c r="I33" s="408"/>
      <c r="J33" s="333" t="s">
        <v>141</v>
      </c>
      <c r="K33" s="99">
        <f>SUM('NEW P2'!AC20)</f>
        <v>0</v>
      </c>
      <c r="M33" s="368"/>
      <c r="N33" s="368"/>
      <c r="O33" s="368"/>
      <c r="Q33" s="89"/>
    </row>
    <row r="34" spans="1:17" ht="37.5" customHeight="1" thickBot="1">
      <c r="A34" s="89"/>
      <c r="B34" s="76"/>
      <c r="C34" s="372" t="s">
        <v>249</v>
      </c>
      <c r="D34" s="372"/>
      <c r="E34" s="100"/>
      <c r="F34" s="339"/>
      <c r="G34" s="416"/>
      <c r="H34" s="77"/>
      <c r="I34" s="409"/>
      <c r="J34" s="347" t="s">
        <v>156</v>
      </c>
      <c r="K34" s="293">
        <f>IF(K20=1,"",SUM('NEW P2'!AD20))</f>
        <v>0</v>
      </c>
      <c r="M34" s="368"/>
      <c r="N34" s="368"/>
      <c r="O34" s="368"/>
      <c r="Q34" s="89"/>
    </row>
    <row r="35" spans="1:17" ht="43.5" customHeight="1" thickBot="1">
      <c r="A35" s="89"/>
      <c r="B35" s="76"/>
      <c r="C35" s="451" t="s">
        <v>341</v>
      </c>
      <c r="D35" s="452"/>
      <c r="E35" s="452"/>
      <c r="F35" s="452"/>
      <c r="G35" s="452"/>
      <c r="H35" s="348"/>
      <c r="I35" s="348"/>
      <c r="J35" s="348"/>
      <c r="K35" s="348"/>
      <c r="L35" s="348"/>
      <c r="Q35" s="89"/>
    </row>
    <row r="36" spans="1:17" ht="30" customHeight="1" thickBot="1">
      <c r="A36" s="89"/>
      <c r="B36" s="76"/>
      <c r="F36" s="478" t="s">
        <v>255</v>
      </c>
      <c r="G36" s="478"/>
      <c r="H36" s="478"/>
      <c r="I36" s="478"/>
      <c r="J36" s="478"/>
      <c r="K36" s="478"/>
      <c r="L36" s="478"/>
      <c r="Q36" s="89"/>
    </row>
    <row r="37" spans="1:17" ht="15" customHeight="1">
      <c r="A37" s="89"/>
      <c r="B37" s="76"/>
      <c r="F37" s="207"/>
      <c r="G37" s="207"/>
      <c r="H37" s="207"/>
      <c r="I37" s="207"/>
      <c r="J37" s="207"/>
      <c r="K37" s="207"/>
      <c r="L37" s="207"/>
      <c r="Q37" s="89"/>
    </row>
    <row r="38" spans="1:17" ht="15" customHeight="1">
      <c r="A38" s="204"/>
      <c r="B38" s="205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</row>
    <row r="39" spans="1:17" ht="14.25" customHeight="1" thickBot="1">
      <c r="A39" s="89"/>
      <c r="B39" s="76"/>
      <c r="H39" s="25"/>
      <c r="I39" s="25"/>
      <c r="Q39" s="89"/>
    </row>
    <row r="40" spans="1:17" ht="34.5" customHeight="1" thickBot="1">
      <c r="A40" s="89"/>
      <c r="B40" s="76"/>
      <c r="C40" s="484" t="s">
        <v>239</v>
      </c>
      <c r="D40" s="485"/>
      <c r="E40" s="485"/>
      <c r="F40" s="485"/>
      <c r="G40" s="485"/>
      <c r="H40" s="485"/>
      <c r="I40" s="485"/>
      <c r="J40" s="485"/>
      <c r="K40" s="485"/>
      <c r="L40" s="485"/>
      <c r="M40" s="485"/>
      <c r="N40" s="485"/>
      <c r="O40" s="486"/>
      <c r="Q40" s="89"/>
    </row>
    <row r="41" spans="1:17" ht="30" customHeight="1" thickBot="1">
      <c r="A41" s="89"/>
      <c r="B41" s="76"/>
      <c r="C41" s="354" t="s">
        <v>237</v>
      </c>
      <c r="D41" s="438" t="s">
        <v>247</v>
      </c>
      <c r="E41" s="439"/>
      <c r="F41" s="439"/>
      <c r="G41" s="440"/>
      <c r="H41" s="186"/>
      <c r="I41" s="351" t="s">
        <v>198</v>
      </c>
      <c r="J41" s="352"/>
      <c r="K41" s="352"/>
      <c r="L41" s="352"/>
      <c r="M41" s="352"/>
      <c r="N41" s="352"/>
      <c r="O41" s="353"/>
      <c r="Q41" s="89"/>
    </row>
    <row r="42" spans="1:17" ht="30" customHeight="1" thickBot="1">
      <c r="A42" s="89"/>
      <c r="B42" s="76"/>
      <c r="C42" s="354"/>
      <c r="D42" s="355" t="s">
        <v>374</v>
      </c>
      <c r="E42" s="355"/>
      <c r="F42" s="355"/>
      <c r="G42" s="337">
        <v>40</v>
      </c>
      <c r="H42" s="185"/>
      <c r="I42" s="288" t="s">
        <v>230</v>
      </c>
      <c r="J42" s="288" t="s">
        <v>244</v>
      </c>
      <c r="K42" s="457" t="s">
        <v>221</v>
      </c>
      <c r="L42" s="457"/>
      <c r="M42" s="288" t="s">
        <v>214</v>
      </c>
      <c r="N42" s="457" t="s">
        <v>212</v>
      </c>
      <c r="O42" s="457"/>
      <c r="Q42" s="89"/>
    </row>
    <row r="43" spans="1:17" ht="30" customHeight="1" thickBot="1">
      <c r="A43" s="89"/>
      <c r="B43" s="76"/>
      <c r="C43" s="354"/>
      <c r="D43" s="384" t="s">
        <v>344</v>
      </c>
      <c r="E43" s="446"/>
      <c r="F43" s="385"/>
      <c r="G43" s="293">
        <v>1</v>
      </c>
      <c r="H43" s="185"/>
      <c r="I43" s="344">
        <v>1</v>
      </c>
      <c r="J43" s="289"/>
      <c r="K43" s="444"/>
      <c r="L43" s="444"/>
      <c r="M43" s="289"/>
      <c r="N43" s="456"/>
      <c r="O43" s="456"/>
      <c r="Q43" s="89"/>
    </row>
    <row r="44" spans="1:17" ht="30" customHeight="1" thickBot="1">
      <c r="A44" s="89"/>
      <c r="B44" s="76"/>
      <c r="C44" s="354"/>
      <c r="D44" s="447" t="s">
        <v>225</v>
      </c>
      <c r="E44" s="448"/>
      <c r="F44" s="449"/>
      <c r="G44" s="206">
        <v>10000</v>
      </c>
      <c r="H44" s="185"/>
      <c r="I44" s="344">
        <v>2</v>
      </c>
      <c r="J44" s="289"/>
      <c r="K44" s="444"/>
      <c r="L44" s="444"/>
      <c r="M44" s="289"/>
      <c r="N44" s="456"/>
      <c r="O44" s="456"/>
      <c r="Q44" s="89"/>
    </row>
    <row r="45" spans="1:17" ht="30" customHeight="1" thickBot="1">
      <c r="A45" s="89"/>
      <c r="B45" s="76"/>
      <c r="C45" s="354"/>
      <c r="D45" s="384" t="s">
        <v>213</v>
      </c>
      <c r="E45" s="446"/>
      <c r="F45" s="385"/>
      <c r="G45" s="99">
        <v>2500</v>
      </c>
      <c r="H45" s="185"/>
      <c r="I45" s="344">
        <v>3</v>
      </c>
      <c r="J45" s="289"/>
      <c r="K45" s="444"/>
      <c r="L45" s="444"/>
      <c r="M45" s="289"/>
      <c r="N45" s="456"/>
      <c r="O45" s="456"/>
      <c r="Q45" s="89"/>
    </row>
    <row r="46" spans="1:17" ht="30" customHeight="1" thickBot="1">
      <c r="A46" s="89"/>
      <c r="B46" s="76"/>
      <c r="C46" s="354"/>
      <c r="D46" s="438" t="s">
        <v>222</v>
      </c>
      <c r="E46" s="439"/>
      <c r="F46" s="439"/>
      <c r="G46" s="440"/>
      <c r="H46" s="185"/>
      <c r="I46" s="344">
        <v>4</v>
      </c>
      <c r="J46" s="289"/>
      <c r="K46" s="444"/>
      <c r="L46" s="444"/>
      <c r="M46" s="289"/>
      <c r="N46" s="456"/>
      <c r="O46" s="456"/>
      <c r="Q46" s="89"/>
    </row>
    <row r="47" spans="1:17" ht="30" customHeight="1" thickBot="1">
      <c r="A47" s="89"/>
      <c r="B47" s="76"/>
      <c r="C47" s="354"/>
      <c r="D47" s="441" t="s">
        <v>167</v>
      </c>
      <c r="E47" s="442"/>
      <c r="F47" s="443"/>
      <c r="G47" s="293"/>
      <c r="H47" s="185"/>
      <c r="I47" s="345">
        <v>5</v>
      </c>
      <c r="J47" s="289"/>
      <c r="K47" s="444"/>
      <c r="L47" s="444"/>
      <c r="M47" s="289"/>
      <c r="N47" s="456"/>
      <c r="O47" s="456"/>
      <c r="Q47" s="89"/>
    </row>
    <row r="48" spans="1:17" ht="30" customHeight="1" thickBot="1">
      <c r="A48" s="89"/>
      <c r="B48" s="76"/>
      <c r="C48" s="354"/>
      <c r="D48" s="450" t="s">
        <v>168</v>
      </c>
      <c r="E48" s="450"/>
      <c r="F48" s="450"/>
      <c r="G48" s="293"/>
      <c r="H48" s="25"/>
      <c r="M48" s="287"/>
      <c r="N48" s="287"/>
      <c r="O48" s="287"/>
      <c r="Q48" s="89"/>
    </row>
    <row r="49" spans="1:17" ht="30" customHeight="1" thickBot="1">
      <c r="A49" s="89"/>
      <c r="B49" s="76"/>
      <c r="C49" s="354"/>
      <c r="D49" s="351" t="s">
        <v>0</v>
      </c>
      <c r="E49" s="352"/>
      <c r="F49" s="352"/>
      <c r="G49" s="353"/>
      <c r="H49" s="25"/>
      <c r="I49" s="351" t="s">
        <v>205</v>
      </c>
      <c r="J49" s="352"/>
      <c r="K49" s="352"/>
      <c r="L49" s="352"/>
      <c r="M49" s="352"/>
      <c r="N49" s="352"/>
      <c r="O49" s="353"/>
      <c r="Q49" s="89"/>
    </row>
    <row r="50" spans="1:17" ht="39" customHeight="1" thickBot="1">
      <c r="A50" s="89"/>
      <c r="B50" s="76"/>
      <c r="C50" s="354"/>
      <c r="D50" s="369" t="s">
        <v>375</v>
      </c>
      <c r="E50" s="370"/>
      <c r="F50" s="371"/>
      <c r="G50" s="235"/>
      <c r="H50" s="25"/>
      <c r="I50" s="288" t="s">
        <v>230</v>
      </c>
      <c r="J50" s="288" t="s">
        <v>233</v>
      </c>
      <c r="K50" s="479" t="s">
        <v>234</v>
      </c>
      <c r="L50" s="480"/>
      <c r="M50" s="481"/>
      <c r="N50" s="211" t="s">
        <v>257</v>
      </c>
      <c r="O50" s="288" t="s">
        <v>235</v>
      </c>
      <c r="Q50" s="89"/>
    </row>
    <row r="51" spans="1:17" ht="39" customHeight="1" thickBot="1">
      <c r="A51" s="89"/>
      <c r="B51" s="76"/>
      <c r="C51" s="354"/>
      <c r="D51" s="487" t="s">
        <v>252</v>
      </c>
      <c r="E51" s="488"/>
      <c r="F51" s="489"/>
      <c r="G51" s="236"/>
      <c r="H51" s="25"/>
      <c r="I51" s="344">
        <v>1</v>
      </c>
      <c r="J51" s="212"/>
      <c r="K51" s="475"/>
      <c r="L51" s="476"/>
      <c r="M51" s="477"/>
      <c r="N51" s="212"/>
      <c r="O51" s="293"/>
      <c r="Q51" s="89"/>
    </row>
    <row r="52" spans="1:17" ht="39" customHeight="1" thickBot="1">
      <c r="A52" s="89"/>
      <c r="B52" s="76"/>
      <c r="C52" s="354"/>
      <c r="D52" s="369" t="s">
        <v>253</v>
      </c>
      <c r="E52" s="370"/>
      <c r="F52" s="371"/>
      <c r="G52" s="293"/>
      <c r="H52" s="25"/>
      <c r="I52" s="344">
        <v>2</v>
      </c>
      <c r="J52" s="212"/>
      <c r="K52" s="475"/>
      <c r="L52" s="476"/>
      <c r="M52" s="477"/>
      <c r="N52" s="212"/>
      <c r="O52" s="293"/>
      <c r="Q52" s="89"/>
    </row>
    <row r="53" spans="1:17" ht="34.5" customHeight="1" thickBot="1">
      <c r="A53" s="89"/>
      <c r="B53" s="76"/>
      <c r="C53" s="354"/>
      <c r="D53" s="490" t="s">
        <v>229</v>
      </c>
      <c r="E53" s="491"/>
      <c r="F53" s="492"/>
      <c r="G53" s="293"/>
      <c r="H53" s="25"/>
      <c r="I53" s="377"/>
      <c r="J53" s="377"/>
      <c r="K53" s="377"/>
      <c r="L53" s="377"/>
      <c r="M53" s="377"/>
      <c r="N53" s="377"/>
      <c r="O53" s="377"/>
      <c r="Q53" s="89"/>
    </row>
    <row r="54" spans="1:17" ht="30" customHeight="1" thickBot="1">
      <c r="A54" s="89"/>
      <c r="B54" s="76"/>
      <c r="C54" s="356"/>
      <c r="D54" s="356"/>
      <c r="E54" s="356"/>
      <c r="F54" s="356"/>
      <c r="G54" s="356"/>
      <c r="H54" s="25"/>
      <c r="I54" s="351" t="s">
        <v>207</v>
      </c>
      <c r="J54" s="352"/>
      <c r="K54" s="352"/>
      <c r="L54" s="352"/>
      <c r="M54" s="352"/>
      <c r="N54" s="445"/>
      <c r="O54" s="353"/>
      <c r="Q54" s="89"/>
    </row>
    <row r="55" spans="1:17" ht="30" customHeight="1" thickBot="1">
      <c r="A55" s="89"/>
      <c r="B55" s="76"/>
      <c r="C55" s="351" t="s">
        <v>236</v>
      </c>
      <c r="D55" s="352"/>
      <c r="E55" s="352"/>
      <c r="F55" s="352"/>
      <c r="G55" s="353"/>
      <c r="H55" s="25"/>
      <c r="I55" s="288" t="s">
        <v>230</v>
      </c>
      <c r="J55" s="288" t="s">
        <v>245</v>
      </c>
      <c r="K55" s="479" t="s">
        <v>231</v>
      </c>
      <c r="L55" s="481"/>
      <c r="M55" s="290" t="s">
        <v>246</v>
      </c>
      <c r="N55" s="288" t="s">
        <v>281</v>
      </c>
      <c r="O55" s="291" t="s">
        <v>282</v>
      </c>
      <c r="Q55" s="89"/>
    </row>
    <row r="56" spans="1:17" ht="30" customHeight="1" thickBot="1">
      <c r="A56" s="89"/>
      <c r="B56" s="76"/>
      <c r="C56" s="288" t="s">
        <v>230</v>
      </c>
      <c r="D56" s="288" t="s">
        <v>232</v>
      </c>
      <c r="E56" s="288" t="s">
        <v>231</v>
      </c>
      <c r="F56" s="288" t="s">
        <v>238</v>
      </c>
      <c r="G56" s="288" t="s">
        <v>235</v>
      </c>
      <c r="H56" s="25"/>
      <c r="I56" s="344">
        <v>1</v>
      </c>
      <c r="J56" s="289"/>
      <c r="K56" s="482"/>
      <c r="L56" s="483"/>
      <c r="M56" s="292"/>
      <c r="N56" s="293"/>
      <c r="O56" s="306"/>
      <c r="Q56" s="89"/>
    </row>
    <row r="57" spans="1:17" ht="30" customHeight="1" thickBot="1">
      <c r="A57" s="89"/>
      <c r="B57" s="76"/>
      <c r="C57" s="344">
        <v>1</v>
      </c>
      <c r="D57" s="289"/>
      <c r="E57" s="289"/>
      <c r="F57" s="289"/>
      <c r="G57" s="293"/>
      <c r="H57" s="25"/>
      <c r="I57" s="344">
        <v>2</v>
      </c>
      <c r="J57" s="289"/>
      <c r="K57" s="482"/>
      <c r="L57" s="483"/>
      <c r="M57" s="292"/>
      <c r="N57" s="293"/>
      <c r="O57" s="306"/>
      <c r="Q57" s="89"/>
    </row>
    <row r="58" spans="1:17" ht="30" customHeight="1" thickBot="1">
      <c r="A58" s="89"/>
      <c r="B58" s="76"/>
      <c r="C58" s="344">
        <v>2</v>
      </c>
      <c r="D58" s="283"/>
      <c r="E58" s="283"/>
      <c r="F58" s="283"/>
      <c r="G58" s="236"/>
      <c r="H58" s="25"/>
      <c r="I58" s="344">
        <v>3</v>
      </c>
      <c r="J58" s="289"/>
      <c r="K58" s="482"/>
      <c r="L58" s="483"/>
      <c r="M58" s="292"/>
      <c r="N58" s="293"/>
      <c r="O58" s="306"/>
      <c r="Q58" s="89"/>
    </row>
    <row r="59" spans="1:17" ht="30" customHeight="1" thickBot="1">
      <c r="A59" s="89"/>
      <c r="B59" s="76"/>
      <c r="C59" s="344">
        <v>3</v>
      </c>
      <c r="D59" s="289"/>
      <c r="E59" s="289"/>
      <c r="F59" s="289"/>
      <c r="G59" s="293"/>
      <c r="H59" s="25"/>
      <c r="I59" s="344">
        <v>4</v>
      </c>
      <c r="J59" s="289"/>
      <c r="K59" s="482"/>
      <c r="L59" s="483"/>
      <c r="M59" s="292"/>
      <c r="N59" s="293"/>
      <c r="O59" s="306"/>
      <c r="Q59" s="89"/>
    </row>
    <row r="60" spans="1:17" ht="30" customHeight="1">
      <c r="A60" s="89"/>
      <c r="B60" s="76"/>
      <c r="C60" s="336"/>
      <c r="D60" s="336"/>
      <c r="E60" s="336"/>
      <c r="F60" s="336"/>
      <c r="G60" s="336"/>
      <c r="H60" s="25"/>
      <c r="I60" s="473"/>
      <c r="J60" s="473"/>
      <c r="K60" s="473"/>
      <c r="L60" s="473"/>
      <c r="M60" s="473"/>
      <c r="N60" s="474"/>
      <c r="O60" s="473"/>
      <c r="Q60" s="89"/>
    </row>
    <row r="61" spans="1:17" ht="40.5" customHeight="1">
      <c r="A61" s="89"/>
      <c r="B61" s="76"/>
      <c r="C61" s="469" t="s">
        <v>349</v>
      </c>
      <c r="D61" s="469"/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Q61" s="89"/>
    </row>
    <row r="62" spans="1:17" ht="30" customHeight="1" thickBot="1">
      <c r="A62" s="89"/>
      <c r="B62" s="76"/>
      <c r="C62" s="468" t="s">
        <v>116</v>
      </c>
      <c r="D62" s="468"/>
      <c r="E62" s="468"/>
      <c r="F62" s="468"/>
      <c r="G62" s="468"/>
      <c r="H62" s="468"/>
      <c r="I62" s="468"/>
      <c r="J62" s="468"/>
      <c r="K62" s="468"/>
      <c r="L62" s="468"/>
      <c r="M62" s="468"/>
      <c r="N62" s="468"/>
      <c r="O62" s="468"/>
      <c r="Q62" s="89"/>
    </row>
    <row r="63" spans="1:17" ht="30" customHeight="1" thickBot="1">
      <c r="A63" s="89"/>
      <c r="B63" s="76"/>
      <c r="C63" s="321"/>
      <c r="D63" s="321"/>
      <c r="E63" s="321"/>
      <c r="F63" s="470" t="s">
        <v>64</v>
      </c>
      <c r="G63" s="471"/>
      <c r="H63" s="471"/>
      <c r="I63" s="471"/>
      <c r="J63" s="471"/>
      <c r="K63" s="472"/>
      <c r="L63" s="321"/>
      <c r="M63" s="321"/>
      <c r="N63" s="321"/>
      <c r="O63" s="321"/>
      <c r="Q63" s="89"/>
    </row>
    <row r="64" spans="1:17" ht="24" customHeight="1">
      <c r="A64" s="89"/>
      <c r="B64" s="76"/>
      <c r="C64" s="321"/>
      <c r="D64" s="321"/>
      <c r="E64" s="321"/>
      <c r="F64" s="321"/>
      <c r="G64" s="321"/>
      <c r="H64" s="25"/>
      <c r="I64" s="321"/>
      <c r="J64" s="321"/>
      <c r="K64" s="321"/>
      <c r="L64" s="321"/>
      <c r="M64" s="321"/>
      <c r="N64" s="321"/>
      <c r="O64" s="321"/>
      <c r="Q64" s="89"/>
    </row>
    <row r="65" spans="1:17" ht="15" customHeight="1">
      <c r="A65" s="335"/>
      <c r="B65" s="335"/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1:17" ht="30" customHeight="1">
      <c r="M66" s="165"/>
      <c r="N66" s="165"/>
    </row>
    <row r="67" spans="1:17" ht="30" customHeight="1"/>
    <row r="68" spans="1:17" ht="30" customHeight="1"/>
    <row r="69" spans="1:17" ht="30" customHeight="1"/>
    <row r="70" spans="1:17" ht="30" customHeight="1"/>
  </sheetData>
  <sheetProtection password="8541" sheet="1" objects="1" scenarios="1"/>
  <mergeCells count="146">
    <mergeCell ref="C62:O62"/>
    <mergeCell ref="C61:O61"/>
    <mergeCell ref="F63:K63"/>
    <mergeCell ref="I60:O60"/>
    <mergeCell ref="K52:M52"/>
    <mergeCell ref="K51:M51"/>
    <mergeCell ref="F36:L36"/>
    <mergeCell ref="I49:O49"/>
    <mergeCell ref="K50:M50"/>
    <mergeCell ref="N47:O47"/>
    <mergeCell ref="K57:L57"/>
    <mergeCell ref="K58:L58"/>
    <mergeCell ref="K46:L46"/>
    <mergeCell ref="K59:L59"/>
    <mergeCell ref="D41:G41"/>
    <mergeCell ref="K42:L42"/>
    <mergeCell ref="K43:L43"/>
    <mergeCell ref="K44:L44"/>
    <mergeCell ref="K55:L55"/>
    <mergeCell ref="N45:O45"/>
    <mergeCell ref="C40:O40"/>
    <mergeCell ref="K56:L56"/>
    <mergeCell ref="D51:F51"/>
    <mergeCell ref="D53:F53"/>
    <mergeCell ref="A1:Q1"/>
    <mergeCell ref="C9:D9"/>
    <mergeCell ref="M22:N22"/>
    <mergeCell ref="M26:N26"/>
    <mergeCell ref="C27:D27"/>
    <mergeCell ref="C28:D28"/>
    <mergeCell ref="C29:D29"/>
    <mergeCell ref="M27:N27"/>
    <mergeCell ref="M28:N28"/>
    <mergeCell ref="C10:D10"/>
    <mergeCell ref="C11:D11"/>
    <mergeCell ref="C12:D12"/>
    <mergeCell ref="C19:G19"/>
    <mergeCell ref="E17:G17"/>
    <mergeCell ref="C20:D20"/>
    <mergeCell ref="C21:D21"/>
    <mergeCell ref="C17:D17"/>
    <mergeCell ref="M13:N13"/>
    <mergeCell ref="M14:N14"/>
    <mergeCell ref="M17:N17"/>
    <mergeCell ref="I18:K18"/>
    <mergeCell ref="I19:K19"/>
    <mergeCell ref="I20:J20"/>
    <mergeCell ref="I21:J21"/>
    <mergeCell ref="C35:G35"/>
    <mergeCell ref="M29:N29"/>
    <mergeCell ref="I24:I26"/>
    <mergeCell ref="M25:N25"/>
    <mergeCell ref="C30:D30"/>
    <mergeCell ref="C32:D32"/>
    <mergeCell ref="I41:O41"/>
    <mergeCell ref="N46:O46"/>
    <mergeCell ref="N44:O44"/>
    <mergeCell ref="N43:O43"/>
    <mergeCell ref="N42:O42"/>
    <mergeCell ref="I27:K27"/>
    <mergeCell ref="D50:F50"/>
    <mergeCell ref="D49:G49"/>
    <mergeCell ref="D46:G46"/>
    <mergeCell ref="D47:F47"/>
    <mergeCell ref="K45:L45"/>
    <mergeCell ref="I54:O54"/>
    <mergeCell ref="D43:F43"/>
    <mergeCell ref="D44:F44"/>
    <mergeCell ref="D45:F45"/>
    <mergeCell ref="D48:F48"/>
    <mergeCell ref="K47:L47"/>
    <mergeCell ref="C6:G6"/>
    <mergeCell ref="E5:G5"/>
    <mergeCell ref="E4:G4"/>
    <mergeCell ref="C3:G3"/>
    <mergeCell ref="C2:K2"/>
    <mergeCell ref="I3:K3"/>
    <mergeCell ref="I6:O6"/>
    <mergeCell ref="M3:N3"/>
    <mergeCell ref="M2:N2"/>
    <mergeCell ref="O2:P5"/>
    <mergeCell ref="C4:D4"/>
    <mergeCell ref="C5:D5"/>
    <mergeCell ref="I4:K5"/>
    <mergeCell ref="C16:D16"/>
    <mergeCell ref="E10:G10"/>
    <mergeCell ref="C22:D22"/>
    <mergeCell ref="C23:D23"/>
    <mergeCell ref="C24:D24"/>
    <mergeCell ref="I32:I34"/>
    <mergeCell ref="C33:F33"/>
    <mergeCell ref="I29:I31"/>
    <mergeCell ref="I28:K28"/>
    <mergeCell ref="I23:J23"/>
    <mergeCell ref="C25:D25"/>
    <mergeCell ref="C26:D26"/>
    <mergeCell ref="G33:G34"/>
    <mergeCell ref="I22:J22"/>
    <mergeCell ref="M23:N23"/>
    <mergeCell ref="C31:D31"/>
    <mergeCell ref="I7:K7"/>
    <mergeCell ref="E12:G12"/>
    <mergeCell ref="E13:G13"/>
    <mergeCell ref="E14:G14"/>
    <mergeCell ref="E15:G15"/>
    <mergeCell ref="E16:G16"/>
    <mergeCell ref="M12:O12"/>
    <mergeCell ref="M9:O9"/>
    <mergeCell ref="I9:J9"/>
    <mergeCell ref="I8:J8"/>
    <mergeCell ref="I10:J10"/>
    <mergeCell ref="E8:G8"/>
    <mergeCell ref="M8:N8"/>
    <mergeCell ref="M10:N10"/>
    <mergeCell ref="M11:N11"/>
    <mergeCell ref="C7:G7"/>
    <mergeCell ref="E9:G9"/>
    <mergeCell ref="M7:O7"/>
    <mergeCell ref="C8:D8"/>
    <mergeCell ref="C13:D13"/>
    <mergeCell ref="C14:D14"/>
    <mergeCell ref="C15:D15"/>
    <mergeCell ref="C55:G55"/>
    <mergeCell ref="C41:C53"/>
    <mergeCell ref="D42:F42"/>
    <mergeCell ref="C54:G54"/>
    <mergeCell ref="E11:G11"/>
    <mergeCell ref="C18:G18"/>
    <mergeCell ref="M24:O24"/>
    <mergeCell ref="I17:J17"/>
    <mergeCell ref="I16:J16"/>
    <mergeCell ref="I15:J15"/>
    <mergeCell ref="I14:J14"/>
    <mergeCell ref="I13:J13"/>
    <mergeCell ref="I12:J12"/>
    <mergeCell ref="I11:J11"/>
    <mergeCell ref="M18:O18"/>
    <mergeCell ref="M31:O34"/>
    <mergeCell ref="D52:F52"/>
    <mergeCell ref="C34:D34"/>
    <mergeCell ref="M19:O19"/>
    <mergeCell ref="M21:O21"/>
    <mergeCell ref="I53:O53"/>
    <mergeCell ref="M20:N20"/>
    <mergeCell ref="M15:N15"/>
    <mergeCell ref="M16:N16"/>
  </mergeCells>
  <hyperlinks>
    <hyperlink ref="I3" r:id="rId1"/>
    <hyperlink ref="I3:K3" r:id="rId2" display="https://historydesc.blogspot.com"/>
    <hyperlink ref="F63" r:id="rId3" display="https://historydesc.blogspot.com/2024/12/IT-Form-New-and-Old-Regime-FY2024-25.html"/>
  </hyperlinks>
  <pageMargins left="0.39370078740157483" right="0.39370078740157483" top="0.39370078740157483" bottom="0" header="0.39370078740157483" footer="0"/>
  <pageSetup paperSize="11" scale="29" orientation="portrait" horizontalDpi="1200" verticalDpi="1200" r:id="rId4"/>
  <ignoredErrors>
    <ignoredError sqref="K30:K31 K33:K34 G22:G32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8"/>
  <sheetViews>
    <sheetView showGridLines="0" zoomScale="85" zoomScaleNormal="85" zoomScaleSheetLayoutView="85" workbookViewId="0">
      <selection activeCell="H3" sqref="H3:M5"/>
    </sheetView>
  </sheetViews>
  <sheetFormatPr defaultRowHeight="15"/>
  <cols>
    <col min="1" max="1" width="2.85546875" style="25" customWidth="1"/>
    <col min="2" max="2" width="3.28515625" style="110" customWidth="1"/>
    <col min="3" max="3" width="18.85546875" style="25" customWidth="1"/>
    <col min="4" max="4" width="13.140625" style="25" customWidth="1"/>
    <col min="5" max="5" width="10.7109375" style="25" customWidth="1"/>
    <col min="6" max="6" width="12.85546875" style="25" customWidth="1"/>
    <col min="7" max="7" width="10.7109375" style="25" customWidth="1"/>
    <col min="8" max="8" width="9.42578125" style="25" customWidth="1"/>
    <col min="9" max="9" width="9.7109375" style="25" customWidth="1"/>
    <col min="10" max="10" width="10.28515625" style="25" customWidth="1"/>
    <col min="11" max="11" width="9.7109375" style="25" customWidth="1"/>
    <col min="12" max="13" width="10.28515625" style="25" customWidth="1"/>
    <col min="14" max="14" width="1.42578125" style="25" customWidth="1"/>
    <col min="15" max="15" width="11.7109375" style="25" customWidth="1"/>
    <col min="16" max="18" width="9.140625" style="25" customWidth="1"/>
    <col min="19" max="21" width="11.42578125" style="25" customWidth="1"/>
    <col min="22" max="22" width="9.7109375" style="25" customWidth="1"/>
    <col min="23" max="23" width="3.28515625" style="25" customWidth="1"/>
    <col min="24" max="24" width="2.85546875" style="25" customWidth="1"/>
    <col min="25" max="16384" width="9.140625" style="25"/>
  </cols>
  <sheetData>
    <row r="1" spans="1:24">
      <c r="A1" s="89"/>
      <c r="B1" s="89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89"/>
    </row>
    <row r="2" spans="1:24" ht="29.25" customHeight="1" thickBot="1">
      <c r="A2" s="89"/>
      <c r="X2" s="89"/>
    </row>
    <row r="3" spans="1:24" ht="34.5" customHeight="1" thickTop="1" thickBot="1">
      <c r="A3" s="89"/>
      <c r="H3" s="501" t="s">
        <v>346</v>
      </c>
      <c r="I3" s="501"/>
      <c r="J3" s="501"/>
      <c r="K3" s="501"/>
      <c r="L3" s="501"/>
      <c r="M3" s="501"/>
      <c r="X3" s="89"/>
    </row>
    <row r="4" spans="1:24" ht="34.5" customHeight="1" thickTop="1" thickBot="1">
      <c r="A4" s="89"/>
      <c r="H4" s="501"/>
      <c r="I4" s="501"/>
      <c r="J4" s="501"/>
      <c r="K4" s="501"/>
      <c r="L4" s="501"/>
      <c r="M4" s="501"/>
      <c r="P4" s="504" t="s">
        <v>274</v>
      </c>
      <c r="Q4" s="504"/>
      <c r="R4" s="504"/>
      <c r="S4" s="504"/>
      <c r="T4" s="504"/>
      <c r="U4" s="504"/>
      <c r="V4" s="61"/>
      <c r="X4" s="89"/>
    </row>
    <row r="5" spans="1:24" ht="34.5" customHeight="1" thickTop="1" thickBot="1">
      <c r="A5" s="89"/>
      <c r="H5" s="501"/>
      <c r="I5" s="501"/>
      <c r="J5" s="501"/>
      <c r="K5" s="501"/>
      <c r="L5" s="501"/>
      <c r="M5" s="501"/>
      <c r="O5" s="61"/>
      <c r="P5" s="61"/>
      <c r="Q5" s="61"/>
      <c r="R5" s="61"/>
      <c r="S5" s="61"/>
      <c r="T5" s="61"/>
      <c r="U5" s="61"/>
      <c r="V5" s="61"/>
      <c r="X5" s="89"/>
    </row>
    <row r="6" spans="1:24" ht="30" customHeight="1" thickTop="1">
      <c r="A6" s="89"/>
      <c r="X6" s="89"/>
    </row>
    <row r="7" spans="1:24" s="47" customFormat="1" ht="30" customHeight="1" thickBot="1">
      <c r="A7" s="90"/>
      <c r="B7" s="122"/>
      <c r="X7" s="90"/>
    </row>
    <row r="8" spans="1:24" ht="30" customHeight="1" thickTop="1" thickBot="1">
      <c r="A8" s="89"/>
      <c r="C8" s="495" t="s">
        <v>165</v>
      </c>
      <c r="D8" s="496"/>
      <c r="E8" s="496"/>
      <c r="F8" s="496"/>
      <c r="G8" s="496"/>
      <c r="H8" s="496"/>
      <c r="I8" s="496"/>
      <c r="J8" s="136"/>
      <c r="K8" s="112"/>
      <c r="L8" s="502" t="s">
        <v>347</v>
      </c>
      <c r="M8" s="502"/>
      <c r="N8" s="502"/>
      <c r="O8" s="502"/>
      <c r="P8" s="502"/>
      <c r="Q8" s="502"/>
      <c r="R8" s="502"/>
      <c r="S8" s="502"/>
      <c r="T8" s="502"/>
      <c r="U8" s="502"/>
      <c r="V8" s="502"/>
      <c r="X8" s="89"/>
    </row>
    <row r="9" spans="1:24" ht="30" customHeight="1" thickTop="1" thickBot="1">
      <c r="A9" s="89"/>
      <c r="C9" s="496"/>
      <c r="D9" s="496"/>
      <c r="E9" s="496"/>
      <c r="F9" s="496"/>
      <c r="G9" s="496"/>
      <c r="H9" s="496"/>
      <c r="I9" s="496"/>
      <c r="J9" s="135"/>
      <c r="K9" s="135"/>
      <c r="L9" s="502"/>
      <c r="M9" s="502"/>
      <c r="N9" s="502"/>
      <c r="O9" s="502"/>
      <c r="P9" s="502"/>
      <c r="Q9" s="502"/>
      <c r="R9" s="502"/>
      <c r="S9" s="502"/>
      <c r="T9" s="502"/>
      <c r="U9" s="502"/>
      <c r="V9" s="502"/>
      <c r="X9" s="89"/>
    </row>
    <row r="10" spans="1:24" ht="30" customHeight="1" thickTop="1" thickBot="1">
      <c r="A10" s="89"/>
      <c r="C10" s="496"/>
      <c r="D10" s="496"/>
      <c r="E10" s="496"/>
      <c r="F10" s="496"/>
      <c r="G10" s="496"/>
      <c r="H10" s="496"/>
      <c r="I10" s="496"/>
      <c r="J10" s="135"/>
      <c r="K10" s="135"/>
      <c r="L10" s="502"/>
      <c r="M10" s="502"/>
      <c r="N10" s="502"/>
      <c r="O10" s="502"/>
      <c r="P10" s="502"/>
      <c r="Q10" s="502"/>
      <c r="R10" s="502"/>
      <c r="S10" s="502"/>
      <c r="T10" s="502"/>
      <c r="U10" s="502"/>
      <c r="V10" s="502"/>
      <c r="X10" s="89"/>
    </row>
    <row r="11" spans="1:24" ht="30" customHeight="1">
      <c r="A11" s="89"/>
      <c r="C11" s="136"/>
      <c r="D11" s="136"/>
      <c r="E11" s="136"/>
      <c r="F11" s="136"/>
      <c r="G11" s="136"/>
      <c r="H11" s="136"/>
      <c r="I11" s="136"/>
      <c r="J11" s="135"/>
      <c r="K11" s="135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X11" s="89"/>
    </row>
    <row r="12" spans="1:24" ht="30" customHeight="1" thickBot="1">
      <c r="A12" s="89"/>
      <c r="X12" s="89"/>
    </row>
    <row r="13" spans="1:24" ht="30" customHeight="1" thickBot="1">
      <c r="A13" s="89"/>
      <c r="C13" s="497" t="s">
        <v>137</v>
      </c>
      <c r="D13" s="498"/>
      <c r="E13" s="498"/>
      <c r="F13" s="498"/>
      <c r="G13" s="503" t="s">
        <v>166</v>
      </c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03"/>
      <c r="T13" s="503"/>
      <c r="U13" s="503"/>
      <c r="V13" s="503"/>
      <c r="X13" s="89"/>
    </row>
    <row r="14" spans="1:24" ht="30" customHeight="1" thickBot="1">
      <c r="A14" s="89"/>
      <c r="C14" s="499"/>
      <c r="D14" s="500"/>
      <c r="E14" s="500"/>
      <c r="F14" s="500"/>
      <c r="G14" s="503"/>
      <c r="H14" s="503"/>
      <c r="I14" s="503"/>
      <c r="J14" s="503"/>
      <c r="K14" s="503"/>
      <c r="L14" s="503"/>
      <c r="M14" s="503"/>
      <c r="N14" s="503"/>
      <c r="O14" s="503"/>
      <c r="P14" s="503"/>
      <c r="Q14" s="503"/>
      <c r="R14" s="503"/>
      <c r="S14" s="503"/>
      <c r="T14" s="503"/>
      <c r="U14" s="503"/>
      <c r="V14" s="503"/>
      <c r="X14" s="89"/>
    </row>
    <row r="15" spans="1:24" ht="31.5" customHeight="1" thickBot="1">
      <c r="A15" s="89"/>
      <c r="C15" s="493" t="s">
        <v>345</v>
      </c>
      <c r="D15" s="493"/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  <c r="U15" s="493"/>
      <c r="V15" s="493"/>
      <c r="X15" s="89"/>
    </row>
    <row r="16" spans="1:24" ht="31.5" customHeight="1" thickBot="1">
      <c r="A16" s="89"/>
      <c r="C16" s="493"/>
      <c r="D16" s="493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  <c r="S16" s="493"/>
      <c r="T16" s="493"/>
      <c r="U16" s="493"/>
      <c r="V16" s="493"/>
      <c r="X16" s="89"/>
    </row>
    <row r="17" spans="1:24" s="43" customFormat="1" ht="31.5" customHeight="1" thickBot="1">
      <c r="A17" s="91"/>
      <c r="B17" s="111"/>
      <c r="C17" s="493"/>
      <c r="D17" s="493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  <c r="S17" s="493"/>
      <c r="T17" s="493"/>
      <c r="U17" s="493"/>
      <c r="V17" s="493"/>
      <c r="X17" s="91"/>
    </row>
    <row r="18" spans="1:24" s="47" customFormat="1" ht="38.25" customHeight="1" thickBot="1">
      <c r="A18" s="90"/>
      <c r="B18" s="122"/>
      <c r="C18" s="508" t="s">
        <v>124</v>
      </c>
      <c r="D18" s="508"/>
      <c r="E18" s="508"/>
      <c r="F18" s="508"/>
      <c r="G18" s="508"/>
      <c r="H18" s="508"/>
      <c r="I18" s="508"/>
      <c r="J18" s="508"/>
      <c r="K18" s="508"/>
      <c r="L18" s="508"/>
      <c r="M18" s="508"/>
      <c r="N18" s="507"/>
      <c r="O18" s="509" t="s">
        <v>125</v>
      </c>
      <c r="P18" s="509"/>
      <c r="Q18" s="509"/>
      <c r="R18" s="509"/>
      <c r="S18" s="509"/>
      <c r="T18" s="509"/>
      <c r="U18" s="509"/>
      <c r="V18" s="509"/>
      <c r="X18" s="90"/>
    </row>
    <row r="19" spans="1:24" ht="30" customHeight="1" thickBot="1">
      <c r="A19" s="89"/>
      <c r="C19" s="132" t="s">
        <v>35</v>
      </c>
      <c r="D19" s="131" t="s">
        <v>113</v>
      </c>
      <c r="E19" s="131" t="s">
        <v>10</v>
      </c>
      <c r="F19" s="131" t="s">
        <v>6</v>
      </c>
      <c r="G19" s="131" t="s">
        <v>4</v>
      </c>
      <c r="H19" s="131" t="s">
        <v>5</v>
      </c>
      <c r="I19" s="133" t="s">
        <v>32</v>
      </c>
      <c r="J19" s="133" t="s">
        <v>100</v>
      </c>
      <c r="K19" s="133" t="s">
        <v>36</v>
      </c>
      <c r="L19" s="131" t="s">
        <v>37</v>
      </c>
      <c r="M19" s="134" t="s">
        <v>121</v>
      </c>
      <c r="N19" s="507"/>
      <c r="O19" s="312" t="s">
        <v>126</v>
      </c>
      <c r="P19" s="313" t="s">
        <v>2</v>
      </c>
      <c r="Q19" s="313" t="s">
        <v>1</v>
      </c>
      <c r="R19" s="313" t="s">
        <v>3</v>
      </c>
      <c r="S19" s="313" t="s">
        <v>127</v>
      </c>
      <c r="T19" s="314" t="s">
        <v>144</v>
      </c>
      <c r="U19" s="318" t="s">
        <v>356</v>
      </c>
      <c r="V19" s="319" t="s">
        <v>351</v>
      </c>
      <c r="X19" s="89"/>
    </row>
    <row r="20" spans="1:24" ht="30" customHeight="1" thickBot="1">
      <c r="A20" s="89"/>
      <c r="C20" s="98" t="s">
        <v>77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507"/>
      <c r="O20" s="126"/>
      <c r="P20" s="126"/>
      <c r="Q20" s="126"/>
      <c r="R20" s="126"/>
      <c r="S20" s="126"/>
      <c r="T20" s="126"/>
      <c r="U20" s="126"/>
      <c r="V20" s="126"/>
      <c r="X20" s="89"/>
    </row>
    <row r="21" spans="1:24" ht="30" customHeight="1" thickBot="1">
      <c r="A21" s="89"/>
      <c r="C21" s="81" t="s">
        <v>76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29"/>
      <c r="N21" s="507"/>
      <c r="O21" s="126"/>
      <c r="P21" s="126"/>
      <c r="Q21" s="126"/>
      <c r="R21" s="126"/>
      <c r="S21" s="126"/>
      <c r="T21" s="126"/>
      <c r="U21" s="126"/>
      <c r="V21" s="126"/>
      <c r="X21" s="89"/>
    </row>
    <row r="22" spans="1:24" ht="30" customHeight="1" thickBot="1">
      <c r="A22" s="89"/>
      <c r="C22" s="81" t="s">
        <v>78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507"/>
      <c r="O22" s="126"/>
      <c r="P22" s="126"/>
      <c r="Q22" s="126"/>
      <c r="R22" s="126"/>
      <c r="S22" s="126"/>
      <c r="T22" s="126"/>
      <c r="U22" s="126"/>
      <c r="V22" s="126"/>
      <c r="X22" s="89"/>
    </row>
    <row r="23" spans="1:24" ht="30" customHeight="1" thickBot="1">
      <c r="A23" s="89"/>
      <c r="C23" s="81" t="s">
        <v>79</v>
      </c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507"/>
      <c r="O23" s="126"/>
      <c r="P23" s="126"/>
      <c r="Q23" s="126"/>
      <c r="R23" s="126"/>
      <c r="S23" s="126"/>
      <c r="T23" s="126"/>
      <c r="U23" s="126"/>
      <c r="V23" s="126"/>
      <c r="X23" s="89"/>
    </row>
    <row r="24" spans="1:24" ht="30" customHeight="1" thickBot="1">
      <c r="A24" s="89"/>
      <c r="C24" s="81" t="s">
        <v>80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29"/>
      <c r="N24" s="507"/>
      <c r="O24" s="126"/>
      <c r="P24" s="126"/>
      <c r="Q24" s="126"/>
      <c r="R24" s="126"/>
      <c r="S24" s="126"/>
      <c r="T24" s="126"/>
      <c r="U24" s="126"/>
      <c r="V24" s="126"/>
      <c r="X24" s="89"/>
    </row>
    <row r="25" spans="1:24" ht="30" customHeight="1" thickBot="1">
      <c r="A25" s="89"/>
      <c r="C25" s="81" t="s">
        <v>81</v>
      </c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507"/>
      <c r="O25" s="126"/>
      <c r="P25" s="126"/>
      <c r="Q25" s="126"/>
      <c r="R25" s="126"/>
      <c r="S25" s="126"/>
      <c r="T25" s="126"/>
      <c r="U25" s="126"/>
      <c r="V25" s="126"/>
      <c r="X25" s="89"/>
    </row>
    <row r="26" spans="1:24" ht="30" customHeight="1" thickBot="1">
      <c r="A26" s="89"/>
      <c r="C26" s="81" t="s">
        <v>82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507"/>
      <c r="O26" s="126"/>
      <c r="P26" s="126"/>
      <c r="Q26" s="126"/>
      <c r="R26" s="126"/>
      <c r="S26" s="126"/>
      <c r="T26" s="126"/>
      <c r="U26" s="126"/>
      <c r="V26" s="126"/>
      <c r="X26" s="89"/>
    </row>
    <row r="27" spans="1:24" ht="30" customHeight="1" thickBot="1">
      <c r="A27" s="89"/>
      <c r="C27" s="81" t="s">
        <v>83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29"/>
      <c r="N27" s="507"/>
      <c r="O27" s="126"/>
      <c r="P27" s="126"/>
      <c r="Q27" s="126"/>
      <c r="R27" s="126"/>
      <c r="S27" s="126"/>
      <c r="T27" s="126"/>
      <c r="U27" s="126"/>
      <c r="V27" s="126"/>
      <c r="X27" s="89"/>
    </row>
    <row r="28" spans="1:24" ht="30" customHeight="1" thickBot="1">
      <c r="A28" s="89"/>
      <c r="C28" s="81" t="s">
        <v>84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507"/>
      <c r="O28" s="126"/>
      <c r="P28" s="126"/>
      <c r="Q28" s="126"/>
      <c r="R28" s="126"/>
      <c r="S28" s="126"/>
      <c r="T28" s="126"/>
      <c r="U28" s="126"/>
      <c r="V28" s="126"/>
      <c r="X28" s="89"/>
    </row>
    <row r="29" spans="1:24" ht="30" customHeight="1" thickBot="1">
      <c r="A29" s="89"/>
      <c r="C29" s="81" t="s">
        <v>85</v>
      </c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507"/>
      <c r="O29" s="126"/>
      <c r="P29" s="126"/>
      <c r="Q29" s="126"/>
      <c r="R29" s="126"/>
      <c r="S29" s="126"/>
      <c r="T29" s="126"/>
      <c r="U29" s="126"/>
      <c r="V29" s="126"/>
      <c r="X29" s="89"/>
    </row>
    <row r="30" spans="1:24" ht="30" customHeight="1" thickBot="1">
      <c r="A30" s="89"/>
      <c r="C30" s="81" t="s">
        <v>86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29"/>
      <c r="N30" s="507"/>
      <c r="O30" s="126"/>
      <c r="P30" s="126"/>
      <c r="Q30" s="126"/>
      <c r="R30" s="126"/>
      <c r="S30" s="126"/>
      <c r="T30" s="126"/>
      <c r="U30" s="126"/>
      <c r="V30" s="126"/>
      <c r="X30" s="89"/>
    </row>
    <row r="31" spans="1:24" ht="30" customHeight="1" thickBot="1">
      <c r="A31" s="89"/>
      <c r="C31" s="81" t="s">
        <v>87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507"/>
      <c r="O31" s="126"/>
      <c r="P31" s="126"/>
      <c r="Q31" s="126"/>
      <c r="R31" s="126"/>
      <c r="S31" s="126"/>
      <c r="T31" s="126"/>
      <c r="U31" s="126"/>
      <c r="V31" s="126"/>
      <c r="X31" s="89"/>
    </row>
    <row r="32" spans="1:24" ht="30" customHeight="1" thickBot="1">
      <c r="A32" s="89"/>
      <c r="C32" s="132" t="s">
        <v>355</v>
      </c>
      <c r="D32" s="131" t="s">
        <v>113</v>
      </c>
      <c r="E32" s="131" t="s">
        <v>10</v>
      </c>
      <c r="F32" s="131" t="s">
        <v>6</v>
      </c>
      <c r="G32" s="131" t="s">
        <v>4</v>
      </c>
      <c r="H32" s="131" t="s">
        <v>5</v>
      </c>
      <c r="I32" s="133" t="s">
        <v>32</v>
      </c>
      <c r="J32" s="133" t="s">
        <v>100</v>
      </c>
      <c r="K32" s="133" t="s">
        <v>36</v>
      </c>
      <c r="L32" s="131" t="s">
        <v>37</v>
      </c>
      <c r="M32" s="134" t="s">
        <v>121</v>
      </c>
      <c r="N32" s="507"/>
      <c r="O32" s="312" t="s">
        <v>126</v>
      </c>
      <c r="P32" s="313" t="s">
        <v>2</v>
      </c>
      <c r="Q32" s="313" t="s">
        <v>1</v>
      </c>
      <c r="R32" s="313" t="s">
        <v>3</v>
      </c>
      <c r="S32" s="313" t="s">
        <v>127</v>
      </c>
      <c r="T32" s="314" t="s">
        <v>144</v>
      </c>
      <c r="U32" s="318" t="s">
        <v>356</v>
      </c>
      <c r="V32" s="319" t="s">
        <v>351</v>
      </c>
      <c r="X32" s="89"/>
    </row>
    <row r="33" spans="1:24" ht="30" customHeight="1" thickBot="1">
      <c r="A33" s="89"/>
      <c r="C33" s="123" t="s">
        <v>163</v>
      </c>
      <c r="D33" s="127"/>
      <c r="E33" s="127"/>
      <c r="F33" s="128"/>
      <c r="G33" s="127"/>
      <c r="H33" s="127"/>
      <c r="I33" s="127"/>
      <c r="J33" s="127"/>
      <c r="K33" s="127"/>
      <c r="L33" s="127"/>
      <c r="M33" s="130"/>
      <c r="N33" s="507"/>
      <c r="O33" s="126"/>
      <c r="P33" s="127"/>
      <c r="Q33" s="127"/>
      <c r="R33" s="127"/>
      <c r="S33" s="127"/>
      <c r="T33" s="127"/>
      <c r="U33" s="126"/>
      <c r="V33" s="126"/>
      <c r="X33" s="89"/>
    </row>
    <row r="34" spans="1:24" ht="30" customHeight="1" thickBot="1">
      <c r="A34" s="89"/>
      <c r="C34" s="123" t="s">
        <v>164</v>
      </c>
      <c r="D34" s="127"/>
      <c r="E34" s="127"/>
      <c r="F34" s="128"/>
      <c r="G34" s="127"/>
      <c r="H34" s="127"/>
      <c r="I34" s="127"/>
      <c r="J34" s="127"/>
      <c r="K34" s="127"/>
      <c r="L34" s="127"/>
      <c r="M34" s="130"/>
      <c r="N34" s="507"/>
      <c r="O34" s="126"/>
      <c r="P34" s="127"/>
      <c r="Q34" s="127"/>
      <c r="R34" s="127"/>
      <c r="S34" s="127"/>
      <c r="T34" s="127"/>
      <c r="U34" s="126"/>
      <c r="V34" s="126"/>
      <c r="X34" s="89"/>
    </row>
    <row r="35" spans="1:24" ht="30" customHeight="1" thickBot="1">
      <c r="A35" s="89"/>
      <c r="C35" s="107" t="s">
        <v>129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507"/>
      <c r="O35" s="126"/>
      <c r="P35" s="127"/>
      <c r="Q35" s="127"/>
      <c r="R35" s="127"/>
      <c r="S35" s="127"/>
      <c r="T35" s="127"/>
      <c r="U35" s="126"/>
      <c r="V35" s="126"/>
      <c r="X35" s="89"/>
    </row>
    <row r="36" spans="1:24" ht="30" customHeight="1" thickBot="1">
      <c r="A36" s="89"/>
      <c r="C36" s="107" t="s">
        <v>130</v>
      </c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507"/>
      <c r="O36" s="126"/>
      <c r="P36" s="127"/>
      <c r="Q36" s="127"/>
      <c r="R36" s="127"/>
      <c r="S36" s="127"/>
      <c r="T36" s="127"/>
      <c r="U36" s="126"/>
      <c r="V36" s="126"/>
      <c r="X36" s="89"/>
    </row>
    <row r="37" spans="1:24" ht="30" customHeight="1" thickBot="1">
      <c r="A37" s="89"/>
      <c r="C37" s="106" t="s">
        <v>119</v>
      </c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507"/>
      <c r="O37" s="126"/>
      <c r="P37" s="127"/>
      <c r="Q37" s="127"/>
      <c r="R37" s="127"/>
      <c r="S37" s="127"/>
      <c r="T37" s="127"/>
      <c r="U37" s="126"/>
      <c r="V37" s="126"/>
      <c r="X37" s="89"/>
    </row>
    <row r="38" spans="1:24" ht="45" customHeight="1">
      <c r="A38" s="89"/>
      <c r="C38" s="451" t="s">
        <v>350</v>
      </c>
      <c r="D38" s="451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51"/>
      <c r="U38" s="451"/>
      <c r="V38" s="451"/>
      <c r="X38" s="89"/>
    </row>
    <row r="39" spans="1:24" ht="30" customHeight="1" thickBot="1">
      <c r="A39" s="89"/>
      <c r="C39" s="505" t="s">
        <v>116</v>
      </c>
      <c r="D39" s="505"/>
      <c r="E39" s="505"/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  <c r="R39" s="505"/>
      <c r="S39" s="505"/>
      <c r="T39" s="505"/>
      <c r="U39" s="311"/>
      <c r="V39" s="311"/>
      <c r="X39" s="89"/>
    </row>
    <row r="40" spans="1:24" ht="30" customHeight="1" thickBot="1">
      <c r="A40" s="89"/>
      <c r="H40" s="506" t="s">
        <v>64</v>
      </c>
      <c r="I40" s="506"/>
      <c r="J40" s="506"/>
      <c r="K40" s="506"/>
      <c r="L40" s="506"/>
      <c r="M40" s="506"/>
      <c r="N40" s="506"/>
      <c r="O40" s="506"/>
      <c r="X40" s="89"/>
    </row>
    <row r="41" spans="1:24" ht="21.75" customHeight="1">
      <c r="A41" s="89"/>
      <c r="G41" s="43"/>
      <c r="K41" s="121"/>
      <c r="L41" s="121"/>
      <c r="X41" s="89"/>
    </row>
    <row r="42" spans="1:24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 ht="30" customHeight="1"/>
    <row r="44" spans="1:24" ht="30" customHeight="1"/>
    <row r="45" spans="1:24" ht="30" customHeight="1"/>
    <row r="46" spans="1:24" ht="30" customHeight="1"/>
    <row r="47" spans="1:24" ht="30" customHeight="1"/>
    <row r="48" spans="1:24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</sheetData>
  <sheetProtection password="8541" sheet="1" objects="1" scenarios="1"/>
  <mergeCells count="14">
    <mergeCell ref="C39:T39"/>
    <mergeCell ref="H40:O40"/>
    <mergeCell ref="N18:N37"/>
    <mergeCell ref="C18:M18"/>
    <mergeCell ref="O18:V18"/>
    <mergeCell ref="C15:V17"/>
    <mergeCell ref="C38:V38"/>
    <mergeCell ref="C1:W1"/>
    <mergeCell ref="C8:I10"/>
    <mergeCell ref="C13:F14"/>
    <mergeCell ref="H3:M5"/>
    <mergeCell ref="L8:V10"/>
    <mergeCell ref="G13:V14"/>
    <mergeCell ref="P4:U4"/>
  </mergeCells>
  <hyperlinks>
    <hyperlink ref="H40" r:id="rId1"/>
    <hyperlink ref="H40:O40" r:id="rId2" display="https://historydesc.blogspot.com"/>
  </hyperlinks>
  <pageMargins left="0.39370078740157483" right="0.39370078740157483" top="0.39370078740157483" bottom="0.39370078740157483" header="0.59055118110236227" footer="0.59055118110236227"/>
  <pageSetup paperSize="11" scale="28" orientation="portrait" horizontalDpi="1200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7"/>
  <sheetViews>
    <sheetView showGridLines="0" view="pageBreakPreview" zoomScaleSheetLayoutView="100" workbookViewId="0">
      <selection activeCell="K4" sqref="K4:K6"/>
    </sheetView>
  </sheetViews>
  <sheetFormatPr defaultColWidth="9.140625" defaultRowHeight="15"/>
  <cols>
    <col min="1" max="1" width="2.28515625" style="47" customWidth="1"/>
    <col min="2" max="2" width="6.140625" style="61" customWidth="1"/>
    <col min="3" max="3" width="4.28515625" style="47" customWidth="1"/>
    <col min="4" max="4" width="4.85546875" style="47" customWidth="1"/>
    <col min="5" max="5" width="31.140625" style="47" customWidth="1"/>
    <col min="6" max="6" width="9" style="47" customWidth="1"/>
    <col min="7" max="7" width="12" style="47" customWidth="1"/>
    <col min="8" max="9" width="12.28515625" style="47" customWidth="1"/>
    <col min="10" max="10" width="6.85546875" style="47" customWidth="1"/>
    <col min="11" max="12" width="16.7109375" style="47" customWidth="1"/>
    <col min="13" max="16384" width="9.140625" style="47"/>
  </cols>
  <sheetData>
    <row r="1" spans="1:16" ht="10.5" customHeight="1" thickBot="1">
      <c r="A1" s="514"/>
      <c r="B1" s="514"/>
      <c r="C1" s="514"/>
      <c r="D1" s="514"/>
      <c r="E1" s="514"/>
      <c r="F1" s="514"/>
      <c r="G1" s="514"/>
      <c r="H1" s="514"/>
      <c r="I1" s="514"/>
    </row>
    <row r="2" spans="1:16" ht="19.5" customHeight="1" thickTop="1">
      <c r="A2" s="514"/>
      <c r="B2" s="515" t="s">
        <v>314</v>
      </c>
      <c r="C2" s="516"/>
      <c r="D2" s="516"/>
      <c r="E2" s="516"/>
      <c r="F2" s="516"/>
      <c r="G2" s="516"/>
      <c r="H2" s="516"/>
      <c r="I2" s="517"/>
      <c r="J2" s="48"/>
      <c r="K2" s="48"/>
      <c r="L2" s="48"/>
      <c r="M2" s="48"/>
      <c r="N2" s="48"/>
      <c r="O2" s="48"/>
      <c r="P2" s="48"/>
    </row>
    <row r="3" spans="1:16" ht="21" customHeight="1" thickBot="1">
      <c r="A3" s="514"/>
      <c r="B3" s="518" t="s">
        <v>224</v>
      </c>
      <c r="C3" s="519"/>
      <c r="D3" s="519"/>
      <c r="E3" s="519"/>
      <c r="F3" s="519"/>
      <c r="G3" s="519"/>
      <c r="H3" s="519"/>
      <c r="I3" s="520"/>
      <c r="J3" s="48"/>
      <c r="K3" s="181"/>
      <c r="L3" s="181"/>
      <c r="M3" s="48"/>
      <c r="N3" s="48"/>
      <c r="O3" s="48"/>
      <c r="P3" s="48"/>
    </row>
    <row r="4" spans="1:16" ht="18" customHeight="1" thickTop="1" thickBot="1">
      <c r="A4" s="514"/>
      <c r="B4" s="521" t="s">
        <v>13</v>
      </c>
      <c r="C4" s="522"/>
      <c r="D4" s="522"/>
      <c r="E4" s="114">
        <f>MASTER!E8</f>
        <v>0</v>
      </c>
      <c r="F4" s="114"/>
      <c r="G4" s="9" t="s">
        <v>63</v>
      </c>
      <c r="H4" s="562">
        <f>MASTER!E12</f>
        <v>0</v>
      </c>
      <c r="I4" s="563"/>
      <c r="J4" s="48"/>
      <c r="K4" s="560" t="s">
        <v>169</v>
      </c>
      <c r="L4" s="560" t="s">
        <v>103</v>
      </c>
      <c r="M4" s="48"/>
      <c r="N4" s="48"/>
      <c r="O4" s="48"/>
      <c r="P4" s="48"/>
    </row>
    <row r="5" spans="1:16" ht="16.5" customHeight="1" thickTop="1" thickBot="1">
      <c r="A5" s="514"/>
      <c r="B5" s="523" t="s">
        <v>17</v>
      </c>
      <c r="C5" s="524"/>
      <c r="D5" s="524"/>
      <c r="E5" s="115">
        <f>MASTER!E9</f>
        <v>0</v>
      </c>
      <c r="F5" s="115"/>
      <c r="G5" s="3" t="s">
        <v>15</v>
      </c>
      <c r="H5" s="564">
        <f>MASTER!E13</f>
        <v>0</v>
      </c>
      <c r="I5" s="565"/>
      <c r="J5" s="48"/>
      <c r="K5" s="560"/>
      <c r="L5" s="560"/>
      <c r="M5" s="48"/>
      <c r="N5" s="48"/>
      <c r="O5" s="48"/>
      <c r="P5" s="48"/>
    </row>
    <row r="6" spans="1:16" ht="16.5" customHeight="1" thickTop="1" thickBot="1">
      <c r="A6" s="514"/>
      <c r="B6" s="523" t="s">
        <v>14</v>
      </c>
      <c r="C6" s="524"/>
      <c r="D6" s="524"/>
      <c r="E6" s="4">
        <f>MASTER!E10</f>
        <v>0</v>
      </c>
      <c r="F6" s="4"/>
      <c r="G6" s="3" t="s">
        <v>12</v>
      </c>
      <c r="H6" s="564">
        <f>MASTER!E14</f>
        <v>0</v>
      </c>
      <c r="I6" s="565"/>
      <c r="J6" s="48"/>
      <c r="K6" s="560"/>
      <c r="L6" s="560"/>
      <c r="M6" s="48"/>
      <c r="N6" s="48"/>
      <c r="O6" s="48"/>
      <c r="P6" s="48"/>
    </row>
    <row r="7" spans="1:16" ht="16.5" customHeight="1" thickTop="1" thickBot="1">
      <c r="A7" s="514"/>
      <c r="B7" s="525" t="s">
        <v>16</v>
      </c>
      <c r="C7" s="526"/>
      <c r="D7" s="526"/>
      <c r="E7" s="2">
        <f>MASTER!E11</f>
        <v>0</v>
      </c>
      <c r="F7" s="2"/>
      <c r="G7" s="15" t="s">
        <v>69</v>
      </c>
      <c r="H7" s="566">
        <f>MASTER!E15</f>
        <v>0</v>
      </c>
      <c r="I7" s="567"/>
      <c r="J7" s="48"/>
      <c r="K7" s="561">
        <f>SUM('OLD P2'!I31)</f>
        <v>0</v>
      </c>
      <c r="L7" s="561">
        <f>SUM(I32)</f>
        <v>0</v>
      </c>
      <c r="M7" s="48"/>
      <c r="N7" s="48"/>
      <c r="O7" s="48"/>
      <c r="P7" s="48"/>
    </row>
    <row r="8" spans="1:16" ht="33" customHeight="1" thickTop="1" thickBot="1">
      <c r="A8" s="514"/>
      <c r="B8" s="527" t="s">
        <v>20</v>
      </c>
      <c r="C8" s="528"/>
      <c r="D8" s="528"/>
      <c r="E8" s="528"/>
      <c r="F8" s="528"/>
      <c r="G8" s="528"/>
      <c r="H8" s="119" t="s">
        <v>19</v>
      </c>
      <c r="I8" s="120" t="s">
        <v>19</v>
      </c>
      <c r="J8" s="48"/>
      <c r="K8" s="561"/>
      <c r="L8" s="561"/>
      <c r="M8" s="48"/>
      <c r="N8" s="48"/>
      <c r="O8" s="48"/>
      <c r="P8" s="48"/>
    </row>
    <row r="9" spans="1:16" s="50" customFormat="1" ht="18" customHeight="1" thickTop="1">
      <c r="A9" s="514"/>
      <c r="B9" s="117">
        <v>1</v>
      </c>
      <c r="C9" s="529" t="s">
        <v>45</v>
      </c>
      <c r="D9" s="530"/>
      <c r="E9" s="530"/>
      <c r="F9" s="530"/>
      <c r="G9" s="531"/>
      <c r="H9" s="187" t="s">
        <v>7</v>
      </c>
      <c r="I9" s="188">
        <f>SUM('NEW P2'!M25)</f>
        <v>3600</v>
      </c>
      <c r="J9" s="49"/>
      <c r="K9" s="180"/>
      <c r="L9" s="180"/>
      <c r="M9" s="49"/>
      <c r="N9" s="49"/>
      <c r="O9" s="49"/>
      <c r="P9" s="49"/>
    </row>
    <row r="10" spans="1:16" s="52" customFormat="1" ht="18" customHeight="1">
      <c r="A10" s="514"/>
      <c r="B10" s="5">
        <v>2</v>
      </c>
      <c r="C10" s="511" t="s">
        <v>120</v>
      </c>
      <c r="D10" s="539"/>
      <c r="E10" s="539"/>
      <c r="F10" s="539"/>
      <c r="G10" s="540"/>
      <c r="H10" s="189"/>
      <c r="I10" s="190" t="s">
        <v>7</v>
      </c>
      <c r="J10" s="51"/>
      <c r="K10" s="51"/>
      <c r="L10" s="51"/>
      <c r="M10" s="51"/>
      <c r="N10" s="51"/>
      <c r="O10" s="51"/>
      <c r="P10" s="51"/>
    </row>
    <row r="11" spans="1:16" s="52" customFormat="1" ht="18" customHeight="1">
      <c r="A11" s="514"/>
      <c r="B11" s="116"/>
      <c r="C11" s="18"/>
      <c r="D11" s="541" t="s">
        <v>273</v>
      </c>
      <c r="E11" s="541"/>
      <c r="F11" s="541"/>
      <c r="G11" s="548"/>
      <c r="H11" s="189">
        <f>IF(I9&lt;75000,I9,75000)</f>
        <v>3600</v>
      </c>
      <c r="I11" s="190"/>
      <c r="J11" s="51"/>
      <c r="K11" s="51"/>
      <c r="L11" s="51"/>
      <c r="M11" s="51"/>
      <c r="N11" s="51"/>
      <c r="O11" s="51"/>
      <c r="P11" s="51"/>
    </row>
    <row r="12" spans="1:16" s="52" customFormat="1" ht="18" customHeight="1">
      <c r="A12" s="514"/>
      <c r="B12" s="202"/>
      <c r="C12" s="21" t="s">
        <v>42</v>
      </c>
      <c r="D12" s="549" t="s">
        <v>111</v>
      </c>
      <c r="E12" s="549"/>
      <c r="F12" s="549"/>
      <c r="G12" s="550"/>
      <c r="H12" s="191">
        <f>SUM('NEW P2'!K25)</f>
        <v>0</v>
      </c>
      <c r="I12" s="190"/>
      <c r="J12" s="53"/>
      <c r="K12" s="54"/>
      <c r="L12" s="51"/>
      <c r="M12" s="51"/>
      <c r="N12" s="51"/>
      <c r="O12" s="51"/>
      <c r="P12" s="51"/>
    </row>
    <row r="13" spans="1:16" s="52" customFormat="1" ht="18.75" customHeight="1">
      <c r="A13" s="514"/>
      <c r="B13" s="5">
        <v>3</v>
      </c>
      <c r="C13" s="536" t="s">
        <v>226</v>
      </c>
      <c r="D13" s="537"/>
      <c r="E13" s="537"/>
      <c r="F13" s="537"/>
      <c r="G13" s="538"/>
      <c r="H13" s="189" t="s">
        <v>7</v>
      </c>
      <c r="I13" s="188">
        <f>IF(SUM(H11:H12)&gt;I9,0,SUM(I9-(H11+H12)))</f>
        <v>0</v>
      </c>
      <c r="J13" s="55"/>
      <c r="K13" s="51"/>
      <c r="L13" s="51"/>
      <c r="M13" s="51"/>
      <c r="N13" s="51"/>
      <c r="O13" s="51"/>
      <c r="P13" s="51"/>
    </row>
    <row r="14" spans="1:16" s="52" customFormat="1" ht="18" customHeight="1">
      <c r="A14" s="514"/>
      <c r="B14" s="5">
        <v>4</v>
      </c>
      <c r="C14" s="511" t="s">
        <v>217</v>
      </c>
      <c r="D14" s="539"/>
      <c r="E14" s="539"/>
      <c r="F14" s="539"/>
      <c r="G14" s="540"/>
      <c r="H14" s="189" t="s">
        <v>7</v>
      </c>
      <c r="I14" s="192"/>
      <c r="J14" s="51"/>
      <c r="K14" s="51"/>
      <c r="L14" s="51"/>
      <c r="M14" s="51"/>
      <c r="N14" s="51"/>
      <c r="O14" s="51"/>
      <c r="P14" s="51"/>
    </row>
    <row r="15" spans="1:16" s="52" customFormat="1" ht="18" customHeight="1">
      <c r="A15" s="514"/>
      <c r="B15" s="203"/>
      <c r="C15" s="19"/>
      <c r="D15" s="541" t="s">
        <v>43</v>
      </c>
      <c r="E15" s="541"/>
      <c r="F15" s="541"/>
      <c r="G15" s="548"/>
      <c r="H15" s="189"/>
      <c r="I15" s="326"/>
      <c r="J15" s="51"/>
      <c r="K15" s="510" t="s">
        <v>339</v>
      </c>
      <c r="L15" s="510"/>
      <c r="M15" s="510"/>
      <c r="N15" s="510"/>
      <c r="O15" s="51"/>
      <c r="P15" s="51"/>
    </row>
    <row r="16" spans="1:16" s="52" customFormat="1" ht="18" customHeight="1">
      <c r="A16" s="514"/>
      <c r="B16" s="203"/>
      <c r="C16" s="21" t="s">
        <v>44</v>
      </c>
      <c r="D16" s="549" t="s">
        <v>41</v>
      </c>
      <c r="E16" s="549"/>
      <c r="F16" s="549"/>
      <c r="G16" s="550"/>
      <c r="H16" s="189" t="s">
        <v>7</v>
      </c>
      <c r="I16" s="326"/>
      <c r="J16" s="56"/>
      <c r="K16" s="510"/>
      <c r="L16" s="510"/>
      <c r="M16" s="510"/>
      <c r="N16" s="510"/>
      <c r="O16" s="51"/>
      <c r="P16" s="51"/>
    </row>
    <row r="17" spans="1:16" s="52" customFormat="1" ht="18" customHeight="1">
      <c r="A17" s="514"/>
      <c r="B17" s="203"/>
      <c r="C17" s="21"/>
      <c r="D17" s="549" t="s">
        <v>74</v>
      </c>
      <c r="E17" s="549"/>
      <c r="F17" s="549"/>
      <c r="G17" s="550"/>
      <c r="H17" s="189"/>
      <c r="I17" s="326"/>
      <c r="J17" s="56"/>
      <c r="K17" s="51"/>
      <c r="L17" s="51"/>
      <c r="M17" s="51"/>
      <c r="N17" s="51"/>
      <c r="O17" s="51"/>
      <c r="P17" s="51"/>
    </row>
    <row r="18" spans="1:16" s="50" customFormat="1" ht="18" customHeight="1">
      <c r="A18" s="514"/>
      <c r="B18" s="5">
        <v>5</v>
      </c>
      <c r="C18" s="536" t="s">
        <v>148</v>
      </c>
      <c r="D18" s="537"/>
      <c r="E18" s="537"/>
      <c r="F18" s="537"/>
      <c r="G18" s="538"/>
      <c r="H18" s="193"/>
      <c r="I18" s="194">
        <f>SUM(I13,I15:I17)</f>
        <v>0</v>
      </c>
      <c r="J18" s="57"/>
      <c r="K18" s="49"/>
      <c r="L18" s="49"/>
      <c r="M18" s="49"/>
      <c r="N18" s="49"/>
      <c r="O18" s="49"/>
      <c r="P18" s="49"/>
    </row>
    <row r="19" spans="1:16" s="50" customFormat="1" ht="18" customHeight="1">
      <c r="A19" s="514"/>
      <c r="B19" s="7">
        <v>6</v>
      </c>
      <c r="C19" s="511" t="s">
        <v>75</v>
      </c>
      <c r="D19" s="537"/>
      <c r="E19" s="537"/>
      <c r="F19" s="537"/>
      <c r="G19" s="538"/>
      <c r="H19" s="195"/>
      <c r="I19" s="194">
        <f>ROUND(I18,-1)</f>
        <v>0</v>
      </c>
      <c r="J19" s="57"/>
      <c r="K19" s="49"/>
      <c r="L19" s="49"/>
      <c r="M19" s="49"/>
      <c r="N19" s="49"/>
      <c r="O19" s="49"/>
      <c r="P19" s="49"/>
    </row>
    <row r="20" spans="1:16" s="50" customFormat="1" ht="18" customHeight="1">
      <c r="A20" s="514"/>
      <c r="B20" s="7">
        <v>7</v>
      </c>
      <c r="C20" s="511" t="s">
        <v>149</v>
      </c>
      <c r="D20" s="512"/>
      <c r="E20" s="512"/>
      <c r="F20" s="512"/>
      <c r="G20" s="513"/>
      <c r="H20" s="189"/>
      <c r="I20" s="188"/>
      <c r="J20" s="57"/>
      <c r="K20" s="49"/>
      <c r="L20" s="49"/>
      <c r="M20" s="49"/>
      <c r="N20" s="49"/>
      <c r="O20" s="49"/>
      <c r="P20" s="49"/>
    </row>
    <row r="21" spans="1:16" s="52" customFormat="1" ht="18" customHeight="1">
      <c r="A21" s="514"/>
      <c r="B21" s="22"/>
      <c r="C21" s="8"/>
      <c r="D21" s="541" t="s">
        <v>104</v>
      </c>
      <c r="E21" s="541"/>
      <c r="F21" s="96" t="s">
        <v>105</v>
      </c>
      <c r="G21" s="279">
        <f>IF(I19&lt;=300000,I19,IF(I19&gt;300000,300000,""))</f>
        <v>0</v>
      </c>
      <c r="H21" s="196">
        <f>IF(G21="","",(ROUND(G21*0,0)))</f>
        <v>0</v>
      </c>
      <c r="I21" s="161" t="s">
        <v>7</v>
      </c>
      <c r="J21" s="55"/>
      <c r="K21" s="95"/>
      <c r="L21" s="55"/>
      <c r="M21" s="55"/>
      <c r="N21" s="55"/>
      <c r="O21" s="51"/>
      <c r="P21" s="51"/>
    </row>
    <row r="22" spans="1:16" s="52" customFormat="1" ht="18" customHeight="1">
      <c r="A22" s="514"/>
      <c r="B22" s="22"/>
      <c r="C22" s="1"/>
      <c r="D22" s="541" t="s">
        <v>106</v>
      </c>
      <c r="E22" s="541"/>
      <c r="F22" s="97">
        <v>0.05</v>
      </c>
      <c r="G22" s="279" t="str">
        <f>IF(I19&gt;300000,IF(I19&lt;=700000,I19-300000,400000),"")</f>
        <v/>
      </c>
      <c r="H22" s="196" t="str">
        <f>IF(G22="","",(ROUND(G22*0.05,0)))</f>
        <v/>
      </c>
      <c r="I22" s="197"/>
      <c r="J22" s="55"/>
      <c r="K22" s="55"/>
      <c r="L22" s="55"/>
      <c r="M22" s="55"/>
      <c r="N22" s="55"/>
      <c r="O22" s="51"/>
      <c r="P22" s="51"/>
    </row>
    <row r="23" spans="1:16" s="52" customFormat="1" ht="18" customHeight="1">
      <c r="A23" s="514"/>
      <c r="B23" s="22"/>
      <c r="C23" s="1"/>
      <c r="D23" s="541" t="s">
        <v>107</v>
      </c>
      <c r="E23" s="541"/>
      <c r="F23" s="97">
        <v>0.1</v>
      </c>
      <c r="G23" s="279" t="str">
        <f>IF(I19&gt;700000,IF(I19&lt;=1000000,I19-700000,300000),"")</f>
        <v/>
      </c>
      <c r="H23" s="196" t="str">
        <f>IF(G23="","",(ROUND(G23*0.1,0)))</f>
        <v/>
      </c>
      <c r="I23" s="197"/>
      <c r="J23" s="55"/>
      <c r="K23" s="55"/>
      <c r="L23" s="55"/>
      <c r="M23" s="55"/>
      <c r="N23" s="55"/>
      <c r="O23" s="51"/>
      <c r="P23" s="51"/>
    </row>
    <row r="24" spans="1:16" s="52" customFormat="1" ht="18" customHeight="1">
      <c r="A24" s="514"/>
      <c r="B24" s="22"/>
      <c r="C24" s="1"/>
      <c r="D24" s="541" t="s">
        <v>108</v>
      </c>
      <c r="E24" s="541"/>
      <c r="F24" s="97">
        <v>0.15</v>
      </c>
      <c r="G24" s="279" t="str">
        <f>IF(I19&gt;1000000,IF(I19&lt;=1200000,I19-1000000,200000),"")</f>
        <v/>
      </c>
      <c r="H24" s="196" t="str">
        <f>IF(G24="","",(ROUND(G24*0.15,0)))</f>
        <v/>
      </c>
      <c r="I24" s="197"/>
      <c r="J24" s="55"/>
      <c r="K24" s="55"/>
      <c r="L24" s="55"/>
      <c r="M24" s="55"/>
      <c r="N24" s="55"/>
      <c r="O24" s="51"/>
      <c r="P24" s="51"/>
    </row>
    <row r="25" spans="1:16" s="52" customFormat="1" ht="18" customHeight="1">
      <c r="A25" s="514"/>
      <c r="B25" s="22"/>
      <c r="C25" s="1"/>
      <c r="D25" s="541" t="s">
        <v>109</v>
      </c>
      <c r="E25" s="541"/>
      <c r="F25" s="97">
        <v>0.2</v>
      </c>
      <c r="G25" s="279" t="str">
        <f>IF(I19&gt;1200000,IF(I19&lt;=1500000,I19-1200000,300000),"")</f>
        <v/>
      </c>
      <c r="H25" s="196" t="str">
        <f>IF(G25="","",(ROUND(G25*0.2,0)))</f>
        <v/>
      </c>
      <c r="I25" s="197"/>
      <c r="J25" s="55"/>
      <c r="K25" s="55"/>
      <c r="L25" s="55"/>
      <c r="M25" s="55"/>
      <c r="N25" s="55"/>
      <c r="O25" s="51"/>
      <c r="P25" s="51"/>
    </row>
    <row r="26" spans="1:16" s="52" customFormat="1" ht="18" customHeight="1">
      <c r="A26" s="514"/>
      <c r="B26" s="117"/>
      <c r="C26" s="1"/>
      <c r="D26" s="541" t="s">
        <v>110</v>
      </c>
      <c r="E26" s="541"/>
      <c r="F26" s="97">
        <v>0.3</v>
      </c>
      <c r="G26" s="279" t="str">
        <f>IF(I19&gt;1500000,I19-1500000,"")</f>
        <v/>
      </c>
      <c r="H26" s="196" t="str">
        <f>IF(G26="","",(ROUND(G26*0.3,0)))</f>
        <v/>
      </c>
      <c r="I26" s="197"/>
      <c r="J26" s="55"/>
      <c r="K26" s="55"/>
      <c r="L26" s="55"/>
      <c r="M26" s="55"/>
      <c r="N26" s="55"/>
      <c r="O26" s="51"/>
      <c r="P26" s="51"/>
    </row>
    <row r="27" spans="1:16" s="52" customFormat="1" ht="18" customHeight="1">
      <c r="A27" s="514"/>
      <c r="B27" s="22">
        <v>8</v>
      </c>
      <c r="C27" s="511" t="s">
        <v>277</v>
      </c>
      <c r="D27" s="539"/>
      <c r="E27" s="539"/>
      <c r="F27" s="559"/>
      <c r="G27" s="540"/>
      <c r="H27" s="196"/>
      <c r="I27" s="197">
        <f>SUM(H21:H26)</f>
        <v>0</v>
      </c>
      <c r="J27" s="55"/>
      <c r="K27" s="55"/>
      <c r="L27" s="55"/>
      <c r="M27" s="55"/>
      <c r="N27" s="55"/>
      <c r="O27" s="51"/>
      <c r="P27" s="51"/>
    </row>
    <row r="28" spans="1:16" s="52" customFormat="1" ht="30" customHeight="1">
      <c r="A28" s="514"/>
      <c r="B28" s="118">
        <v>9</v>
      </c>
      <c r="C28" s="511" t="s">
        <v>147</v>
      </c>
      <c r="D28" s="539"/>
      <c r="E28" s="539"/>
      <c r="F28" s="539"/>
      <c r="G28" s="540"/>
      <c r="H28" s="196">
        <f>IF(I27&lt;=20000,I27,IF(G23&gt;22221,0,(I27-H29)))</f>
        <v>0</v>
      </c>
      <c r="I28" s="197"/>
      <c r="J28" s="55"/>
      <c r="K28" s="55"/>
      <c r="L28" s="55"/>
      <c r="M28" s="55"/>
      <c r="N28" s="55"/>
      <c r="O28" s="51"/>
      <c r="P28" s="51"/>
    </row>
    <row r="29" spans="1:16" s="52" customFormat="1" ht="18" customHeight="1">
      <c r="A29" s="514"/>
      <c r="B29" s="117"/>
      <c r="C29" s="511" t="s">
        <v>209</v>
      </c>
      <c r="D29" s="539"/>
      <c r="E29" s="539"/>
      <c r="F29" s="539"/>
      <c r="G29" s="540"/>
      <c r="H29" s="196">
        <f>IF(G23&lt;=22221,G23,0)</f>
        <v>0</v>
      </c>
      <c r="I29" s="197"/>
      <c r="J29" s="55"/>
      <c r="K29" s="55"/>
      <c r="L29" s="55"/>
      <c r="M29" s="55"/>
      <c r="N29" s="55"/>
      <c r="O29" s="51"/>
      <c r="P29" s="51"/>
    </row>
    <row r="30" spans="1:16" s="52" customFormat="1" ht="18" customHeight="1">
      <c r="A30" s="514"/>
      <c r="B30" s="6">
        <v>10</v>
      </c>
      <c r="C30" s="511" t="s">
        <v>210</v>
      </c>
      <c r="D30" s="539"/>
      <c r="E30" s="539"/>
      <c r="F30" s="539"/>
      <c r="G30" s="540"/>
      <c r="H30" s="196"/>
      <c r="I30" s="197">
        <f>IF(G23="",0,IF(H29&gt;=1,H29,I27))</f>
        <v>0</v>
      </c>
      <c r="J30" s="55"/>
      <c r="K30" s="55"/>
      <c r="L30" s="55"/>
      <c r="M30" s="55"/>
      <c r="N30" s="55"/>
      <c r="O30" s="51"/>
      <c r="P30" s="51"/>
    </row>
    <row r="31" spans="1:16" s="52" customFormat="1" ht="18" customHeight="1">
      <c r="A31" s="514"/>
      <c r="B31" s="6">
        <v>11</v>
      </c>
      <c r="C31" s="511" t="s">
        <v>191</v>
      </c>
      <c r="D31" s="539"/>
      <c r="E31" s="539"/>
      <c r="F31" s="539"/>
      <c r="G31" s="540"/>
      <c r="H31" s="196"/>
      <c r="I31" s="197">
        <f>(ROUND(I30*0.04,0))</f>
        <v>0</v>
      </c>
      <c r="J31" s="55"/>
      <c r="K31" s="55"/>
      <c r="L31" s="55"/>
      <c r="M31" s="55"/>
      <c r="N31" s="55"/>
      <c r="O31" s="51"/>
      <c r="P31" s="51"/>
    </row>
    <row r="32" spans="1:16" s="52" customFormat="1" ht="18" customHeight="1">
      <c r="A32" s="514"/>
      <c r="B32" s="6">
        <v>12</v>
      </c>
      <c r="C32" s="511" t="s">
        <v>18</v>
      </c>
      <c r="D32" s="539"/>
      <c r="E32" s="539"/>
      <c r="F32" s="539"/>
      <c r="G32" s="540"/>
      <c r="H32" s="196"/>
      <c r="I32" s="197">
        <f>SUM(I30+I31)</f>
        <v>0</v>
      </c>
      <c r="J32" s="55"/>
      <c r="K32" s="55"/>
      <c r="L32" s="55"/>
      <c r="M32" s="55"/>
      <c r="N32" s="55"/>
      <c r="O32" s="51"/>
      <c r="P32" s="51"/>
    </row>
    <row r="33" spans="1:16" s="52" customFormat="1" ht="18" customHeight="1">
      <c r="A33" s="514"/>
      <c r="B33" s="5">
        <v>13</v>
      </c>
      <c r="C33" s="511" t="s">
        <v>227</v>
      </c>
      <c r="D33" s="539"/>
      <c r="E33" s="539"/>
      <c r="F33" s="539"/>
      <c r="G33" s="540"/>
      <c r="H33" s="196">
        <f>SUM('NEW P2'!T25)</f>
        <v>0</v>
      </c>
      <c r="I33" s="197"/>
      <c r="J33" s="55"/>
      <c r="K33" s="55"/>
      <c r="L33" s="55"/>
      <c r="M33" s="55"/>
      <c r="N33" s="55"/>
      <c r="O33" s="51"/>
      <c r="P33" s="51"/>
    </row>
    <row r="34" spans="1:16" s="52" customFormat="1" ht="18" customHeight="1">
      <c r="A34" s="514"/>
      <c r="B34" s="117"/>
      <c r="C34" s="511" t="s">
        <v>228</v>
      </c>
      <c r="D34" s="539"/>
      <c r="E34" s="539"/>
      <c r="F34" s="539"/>
      <c r="G34" s="540"/>
      <c r="H34" s="198">
        <f>SUM(MASTER!E34:F34)</f>
        <v>0</v>
      </c>
      <c r="I34" s="197"/>
      <c r="J34" s="55"/>
      <c r="K34" s="55"/>
      <c r="L34" s="55"/>
      <c r="M34" s="55"/>
      <c r="N34" s="55"/>
      <c r="O34" s="51"/>
      <c r="P34" s="51"/>
    </row>
    <row r="35" spans="1:16" s="52" customFormat="1" ht="30" customHeight="1" thickBot="1">
      <c r="A35" s="514"/>
      <c r="B35" s="12">
        <v>14</v>
      </c>
      <c r="C35" s="544" t="s">
        <v>62</v>
      </c>
      <c r="D35" s="545"/>
      <c r="E35" s="545"/>
      <c r="F35" s="545"/>
      <c r="G35" s="546"/>
      <c r="H35" s="199" t="s">
        <v>7</v>
      </c>
      <c r="I35" s="200">
        <f>SUM(I32-(H33+H34))</f>
        <v>0</v>
      </c>
      <c r="J35" s="55"/>
      <c r="K35" s="55"/>
      <c r="L35" s="55"/>
      <c r="M35" s="55"/>
      <c r="N35" s="55"/>
      <c r="O35" s="51"/>
      <c r="P35" s="51"/>
    </row>
    <row r="36" spans="1:16" s="52" customFormat="1" ht="18.75" customHeight="1" thickTop="1">
      <c r="A36" s="514"/>
      <c r="B36" s="556" t="s">
        <v>9</v>
      </c>
      <c r="C36" s="557"/>
      <c r="D36" s="557"/>
      <c r="E36" s="557"/>
      <c r="F36" s="557"/>
      <c r="G36" s="557"/>
      <c r="H36" s="557"/>
      <c r="I36" s="558"/>
      <c r="J36" s="55"/>
      <c r="K36" s="55"/>
      <c r="L36" s="55"/>
      <c r="M36" s="55"/>
      <c r="N36" s="55"/>
      <c r="O36" s="51"/>
      <c r="P36" s="51"/>
    </row>
    <row r="37" spans="1:16" s="52" customFormat="1" ht="15" customHeight="1">
      <c r="A37" s="514"/>
      <c r="B37" s="534" t="s">
        <v>48</v>
      </c>
      <c r="C37" s="535"/>
      <c r="D37" s="535"/>
      <c r="E37" s="535"/>
      <c r="F37" s="535"/>
      <c r="G37" s="535"/>
      <c r="H37" s="535"/>
      <c r="I37" s="547"/>
      <c r="J37" s="55"/>
      <c r="K37" s="55"/>
      <c r="L37" s="55"/>
      <c r="M37" s="55"/>
      <c r="N37" s="55"/>
      <c r="O37" s="51"/>
      <c r="P37" s="51"/>
    </row>
    <row r="38" spans="1:16" s="52" customFormat="1" ht="18.75" customHeight="1">
      <c r="A38" s="514"/>
      <c r="B38" s="534" t="s">
        <v>49</v>
      </c>
      <c r="C38" s="535"/>
      <c r="D38" s="535"/>
      <c r="E38" s="535"/>
      <c r="F38" s="87"/>
      <c r="G38" s="10"/>
      <c r="H38" s="10"/>
      <c r="I38" s="11"/>
      <c r="J38" s="55"/>
      <c r="K38" s="55"/>
      <c r="L38" s="55"/>
      <c r="M38" s="55"/>
      <c r="N38" s="55"/>
      <c r="O38" s="51"/>
      <c r="P38" s="51"/>
    </row>
    <row r="39" spans="1:16" s="52" customFormat="1" ht="18" customHeight="1">
      <c r="A39" s="514"/>
      <c r="B39" s="22"/>
      <c r="C39" s="87"/>
      <c r="D39" s="87"/>
      <c r="E39" s="87"/>
      <c r="F39" s="87"/>
      <c r="G39" s="10"/>
      <c r="H39" s="10"/>
      <c r="I39" s="11"/>
      <c r="J39" s="55"/>
      <c r="K39" s="55"/>
      <c r="L39" s="55"/>
      <c r="M39" s="55"/>
      <c r="N39" s="55"/>
      <c r="O39" s="51"/>
      <c r="P39" s="51"/>
    </row>
    <row r="40" spans="1:16" s="52" customFormat="1" ht="16.5" customHeight="1">
      <c r="A40" s="514"/>
      <c r="B40" s="534" t="s">
        <v>72</v>
      </c>
      <c r="C40" s="535"/>
      <c r="D40" s="535"/>
      <c r="E40" s="535"/>
      <c r="F40" s="87"/>
      <c r="G40" s="535" t="s">
        <v>21</v>
      </c>
      <c r="H40" s="535"/>
      <c r="I40" s="547"/>
      <c r="J40" s="55"/>
      <c r="K40" s="55"/>
      <c r="L40" s="55"/>
      <c r="M40" s="55"/>
      <c r="N40" s="55"/>
      <c r="O40" s="51"/>
      <c r="P40" s="51"/>
    </row>
    <row r="41" spans="1:16" s="52" customFormat="1" ht="15.75" customHeight="1">
      <c r="A41" s="514"/>
      <c r="B41" s="22"/>
      <c r="C41" s="87"/>
      <c r="D41" s="87"/>
      <c r="E41" s="87"/>
      <c r="F41" s="87"/>
      <c r="G41" s="542">
        <f>MASTER!E8</f>
        <v>0</v>
      </c>
      <c r="H41" s="542"/>
      <c r="I41" s="543"/>
      <c r="J41" s="55"/>
      <c r="K41" s="55"/>
      <c r="L41" s="55"/>
      <c r="M41" s="55"/>
      <c r="N41" s="55"/>
      <c r="O41" s="51"/>
      <c r="P41" s="51"/>
    </row>
    <row r="42" spans="1:16" s="52" customFormat="1" ht="15.75" customHeight="1">
      <c r="A42" s="514"/>
      <c r="B42" s="22"/>
      <c r="C42" s="87"/>
      <c r="D42" s="87"/>
      <c r="E42" s="87"/>
      <c r="F42" s="87"/>
      <c r="G42" s="542">
        <f>MASTER!E9</f>
        <v>0</v>
      </c>
      <c r="H42" s="542"/>
      <c r="I42" s="543"/>
      <c r="J42" s="55"/>
      <c r="K42" s="55"/>
      <c r="L42" s="55"/>
      <c r="M42" s="55"/>
      <c r="N42" s="55"/>
      <c r="O42" s="51"/>
      <c r="P42" s="51"/>
    </row>
    <row r="43" spans="1:16" s="52" customFormat="1" ht="15.75" customHeight="1">
      <c r="A43" s="514"/>
      <c r="B43" s="22"/>
      <c r="C43" s="87"/>
      <c r="D43" s="87"/>
      <c r="E43" s="87"/>
      <c r="F43" s="87"/>
      <c r="G43" s="542">
        <f>MASTER!E10</f>
        <v>0</v>
      </c>
      <c r="H43" s="542"/>
      <c r="I43" s="543"/>
      <c r="J43" s="55"/>
      <c r="K43" s="55"/>
      <c r="L43" s="55"/>
      <c r="M43" s="55"/>
      <c r="N43" s="55"/>
      <c r="O43" s="51"/>
      <c r="P43" s="51"/>
    </row>
    <row r="44" spans="1:16" s="60" customFormat="1" ht="15.75" customHeight="1" thickBot="1">
      <c r="A44" s="514"/>
      <c r="B44" s="13"/>
      <c r="C44" s="14"/>
      <c r="D44" s="14"/>
      <c r="E44" s="14"/>
      <c r="F44" s="14"/>
      <c r="G44" s="532">
        <f>MASTER!E11</f>
        <v>0</v>
      </c>
      <c r="H44" s="532"/>
      <c r="I44" s="533"/>
      <c r="J44" s="58"/>
      <c r="K44" s="59"/>
      <c r="L44" s="59"/>
      <c r="M44" s="59"/>
      <c r="N44" s="59"/>
      <c r="O44" s="59"/>
      <c r="P44" s="59"/>
    </row>
    <row r="45" spans="1:16" s="60" customFormat="1" ht="16.5" customHeight="1" thickTop="1" thickBot="1">
      <c r="A45" s="103"/>
      <c r="B45" s="553" t="s">
        <v>135</v>
      </c>
      <c r="C45" s="554"/>
      <c r="D45" s="554"/>
      <c r="E45" s="554"/>
      <c r="F45" s="554"/>
      <c r="G45" s="554"/>
      <c r="H45" s="554"/>
      <c r="I45" s="555"/>
      <c r="J45" s="58"/>
      <c r="K45" s="59"/>
      <c r="L45" s="59"/>
      <c r="M45" s="59"/>
      <c r="N45" s="59"/>
      <c r="O45" s="59"/>
      <c r="P45" s="59"/>
    </row>
    <row r="46" spans="1:16" ht="21" customHeight="1" thickTop="1" thickBot="1">
      <c r="A46" s="20"/>
      <c r="B46" s="551" t="s">
        <v>134</v>
      </c>
      <c r="C46" s="552"/>
      <c r="D46" s="552"/>
      <c r="E46" s="552"/>
      <c r="F46" s="552"/>
      <c r="G46" s="552"/>
      <c r="H46" s="166">
        <f>IF(I35&gt;=1,SUM(I30-(SUM(MASTER!E21:E32,MASTER!E34,ADJUST!U33:U37))),0)</f>
        <v>0</v>
      </c>
      <c r="I46" s="108">
        <f>IF(I35&gt;=1,SUM(I31-(SUM(MASTER!F21:F32,MASTER!F34,ADJUST!V33:V37))),0)</f>
        <v>0</v>
      </c>
    </row>
    <row r="47" spans="1:16" ht="15.75" thickTop="1"/>
  </sheetData>
  <sheetProtection password="8541" sheet="1" objects="1" scenarios="1"/>
  <mergeCells count="56">
    <mergeCell ref="L4:L6"/>
    <mergeCell ref="L7:L8"/>
    <mergeCell ref="K4:K6"/>
    <mergeCell ref="K7:K8"/>
    <mergeCell ref="C10:G10"/>
    <mergeCell ref="H4:I4"/>
    <mergeCell ref="H5:I5"/>
    <mergeCell ref="H6:I6"/>
    <mergeCell ref="H7:I7"/>
    <mergeCell ref="D11:G11"/>
    <mergeCell ref="D12:G12"/>
    <mergeCell ref="B46:G46"/>
    <mergeCell ref="B45:I45"/>
    <mergeCell ref="C19:G19"/>
    <mergeCell ref="D15:G15"/>
    <mergeCell ref="D16:G16"/>
    <mergeCell ref="D17:G17"/>
    <mergeCell ref="C14:G14"/>
    <mergeCell ref="G42:I42"/>
    <mergeCell ref="B36:I36"/>
    <mergeCell ref="D21:E21"/>
    <mergeCell ref="C27:G27"/>
    <mergeCell ref="C28:G28"/>
    <mergeCell ref="C31:G31"/>
    <mergeCell ref="D22:E22"/>
    <mergeCell ref="C32:G32"/>
    <mergeCell ref="D23:E23"/>
    <mergeCell ref="D24:E24"/>
    <mergeCell ref="G43:I43"/>
    <mergeCell ref="D25:E25"/>
    <mergeCell ref="G41:I41"/>
    <mergeCell ref="C34:G34"/>
    <mergeCell ref="C35:G35"/>
    <mergeCell ref="C33:G33"/>
    <mergeCell ref="B37:I37"/>
    <mergeCell ref="B38:E38"/>
    <mergeCell ref="G40:I40"/>
    <mergeCell ref="D26:E26"/>
    <mergeCell ref="C29:G29"/>
    <mergeCell ref="C30:G30"/>
    <mergeCell ref="K15:N16"/>
    <mergeCell ref="C20:G20"/>
    <mergeCell ref="A1:I1"/>
    <mergeCell ref="A2:A44"/>
    <mergeCell ref="B2:I2"/>
    <mergeCell ref="B3:I3"/>
    <mergeCell ref="B4:D4"/>
    <mergeCell ref="B5:D5"/>
    <mergeCell ref="B6:D6"/>
    <mergeCell ref="B7:D7"/>
    <mergeCell ref="B8:G8"/>
    <mergeCell ref="C9:G9"/>
    <mergeCell ref="G44:I44"/>
    <mergeCell ref="B40:E40"/>
    <mergeCell ref="C13:G13"/>
    <mergeCell ref="C18:G18"/>
  </mergeCells>
  <pageMargins left="0.59055118110236227" right="0.59055118110236227" top="0.59055118110236227" bottom="0.59055118110236227" header="0.23622047244094491" footer="0.23622047244094491"/>
  <pageSetup paperSize="9" scale="98" orientation="portrait" r:id="rId1"/>
  <rowBreaks count="1" manualBreakCount="1">
    <brk id="45" min="1" max="7" man="1"/>
  </rowBreaks>
  <ignoredErrors>
    <ignoredError sqref="H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28"/>
  <sheetViews>
    <sheetView showGridLines="0" view="pageBreakPreview" zoomScaleSheetLayoutView="100" workbookViewId="0">
      <selection activeCell="M6" sqref="M6"/>
    </sheetView>
  </sheetViews>
  <sheetFormatPr defaultRowHeight="15"/>
  <cols>
    <col min="1" max="1" width="1.140625" style="25" customWidth="1"/>
    <col min="2" max="2" width="11.42578125" style="25" customWidth="1"/>
    <col min="3" max="3" width="9.42578125" style="25" customWidth="1"/>
    <col min="4" max="4" width="6.85546875" style="25" customWidth="1"/>
    <col min="5" max="5" width="9.140625" style="25" customWidth="1"/>
    <col min="6" max="6" width="7.42578125" style="25" customWidth="1"/>
    <col min="7" max="7" width="6" style="25" customWidth="1"/>
    <col min="8" max="8" width="6.5703125" style="25" customWidth="1"/>
    <col min="9" max="10" width="6.42578125" style="25" customWidth="1"/>
    <col min="11" max="11" width="7.140625" style="25" customWidth="1"/>
    <col min="12" max="12" width="7.42578125" style="25" customWidth="1"/>
    <col min="13" max="13" width="9.7109375" style="25" customWidth="1"/>
    <col min="14" max="14" width="8.5703125" style="25" customWidth="1"/>
    <col min="15" max="15" width="5.42578125" style="25" customWidth="1"/>
    <col min="16" max="16" width="5" style="25" customWidth="1"/>
    <col min="17" max="17" width="5.42578125" style="25" customWidth="1"/>
    <col min="18" max="20" width="8.28515625" style="25" customWidth="1"/>
    <col min="21" max="21" width="9.42578125" style="25" customWidth="1"/>
    <col min="22" max="22" width="9.28515625" style="25" customWidth="1"/>
    <col min="23" max="23" width="8.7109375" style="25" customWidth="1"/>
    <col min="24" max="24" width="8.7109375" style="25" hidden="1" customWidth="1"/>
    <col min="25" max="25" width="11" style="25" hidden="1" customWidth="1"/>
    <col min="26" max="26" width="9.42578125" style="25" hidden="1" customWidth="1"/>
    <col min="27" max="27" width="10.7109375" style="25" hidden="1" customWidth="1"/>
    <col min="28" max="30" width="9.140625" style="25" hidden="1" customWidth="1"/>
    <col min="31" max="16384" width="9.140625" style="25"/>
  </cols>
  <sheetData>
    <row r="1" spans="1:36" ht="8.25" customHeight="1" thickBot="1">
      <c r="A1" s="23"/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6" ht="25.5" customHeight="1" thickTop="1" thickBot="1">
      <c r="A2" s="23"/>
      <c r="B2" s="568" t="s">
        <v>47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70"/>
      <c r="V2" s="26"/>
      <c r="W2" s="23"/>
      <c r="X2" s="23"/>
    </row>
    <row r="3" spans="1:36" ht="19.5" customHeight="1" thickTop="1">
      <c r="A3" s="23"/>
      <c r="B3" s="521" t="s">
        <v>13</v>
      </c>
      <c r="C3" s="522"/>
      <c r="D3" s="571">
        <f>MASTER!E8</f>
        <v>0</v>
      </c>
      <c r="E3" s="571"/>
      <c r="F3" s="571"/>
      <c r="G3" s="571"/>
      <c r="H3" s="522" t="s">
        <v>145</v>
      </c>
      <c r="I3" s="522"/>
      <c r="J3" s="572">
        <f>MASTER!E10</f>
        <v>0</v>
      </c>
      <c r="K3" s="572"/>
      <c r="L3" s="572"/>
      <c r="M3" s="572"/>
      <c r="N3" s="572"/>
      <c r="O3" s="572"/>
      <c r="P3" s="522" t="s">
        <v>146</v>
      </c>
      <c r="Q3" s="522"/>
      <c r="R3" s="522"/>
      <c r="S3" s="571">
        <f>MASTER!E12</f>
        <v>0</v>
      </c>
      <c r="T3" s="573"/>
      <c r="U3" s="574"/>
      <c r="V3" s="27"/>
      <c r="W3" s="23"/>
      <c r="X3" s="23"/>
    </row>
    <row r="4" spans="1:36" ht="17.25" customHeight="1" thickBot="1">
      <c r="A4" s="23"/>
      <c r="B4" s="584" t="s">
        <v>17</v>
      </c>
      <c r="C4" s="585"/>
      <c r="D4" s="576">
        <f>MASTER!E9</f>
        <v>0</v>
      </c>
      <c r="E4" s="576"/>
      <c r="F4" s="576"/>
      <c r="G4" s="576"/>
      <c r="H4" s="585" t="s">
        <v>16</v>
      </c>
      <c r="I4" s="585"/>
      <c r="J4" s="576">
        <f>MASTER!E11</f>
        <v>0</v>
      </c>
      <c r="K4" s="576"/>
      <c r="L4" s="576"/>
      <c r="M4" s="576"/>
      <c r="N4" s="576"/>
      <c r="O4" s="576"/>
      <c r="P4" s="585" t="s">
        <v>139</v>
      </c>
      <c r="Q4" s="585"/>
      <c r="R4" s="585"/>
      <c r="S4" s="576">
        <f>MASTER!E14</f>
        <v>0</v>
      </c>
      <c r="T4" s="577"/>
      <c r="U4" s="578"/>
      <c r="V4" s="28"/>
      <c r="W4" s="23"/>
      <c r="X4" s="23"/>
    </row>
    <row r="5" spans="1:36" ht="19.5" customHeight="1" thickTop="1" thickBot="1">
      <c r="A5" s="23"/>
      <c r="B5" s="587" t="s">
        <v>368</v>
      </c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9"/>
      <c r="N5" s="587" t="s">
        <v>0</v>
      </c>
      <c r="O5" s="588"/>
      <c r="P5" s="588"/>
      <c r="Q5" s="588"/>
      <c r="R5" s="588"/>
      <c r="S5" s="588"/>
      <c r="T5" s="588"/>
      <c r="U5" s="589"/>
      <c r="V5" s="582" t="s">
        <v>66</v>
      </c>
      <c r="W5" s="23"/>
      <c r="X5" s="23"/>
      <c r="Y5" s="330"/>
      <c r="Z5" s="330"/>
      <c r="AA5" s="330"/>
      <c r="AB5" s="330"/>
    </row>
    <row r="6" spans="1:36" ht="24" customHeight="1" thickTop="1" thickBot="1">
      <c r="A6" s="24"/>
      <c r="B6" s="29" t="s">
        <v>35</v>
      </c>
      <c r="C6" s="30" t="s">
        <v>113</v>
      </c>
      <c r="D6" s="30" t="s">
        <v>10</v>
      </c>
      <c r="E6" s="30" t="s">
        <v>6</v>
      </c>
      <c r="F6" s="30" t="s">
        <v>4</v>
      </c>
      <c r="G6" s="30" t="s">
        <v>5</v>
      </c>
      <c r="H6" s="30" t="str">
        <f>IF(ADJUST!I19="","CCA",ADJUST!I19)</f>
        <v>CCA</v>
      </c>
      <c r="I6" s="30" t="str">
        <f>IF(ADJUST!J19="","Oth. A",ADJUST!J19)</f>
        <v>Oth. A</v>
      </c>
      <c r="J6" s="30" t="str">
        <f>IF(ADJUST!K19="","Spl. A",ADJUST!K19)</f>
        <v>Spl. A</v>
      </c>
      <c r="K6" s="30" t="str">
        <f>IF(ADJUST!L19="","Con. A",ADJUST!L19)</f>
        <v>Con. A</v>
      </c>
      <c r="L6" s="30" t="s">
        <v>136</v>
      </c>
      <c r="M6" s="32" t="s">
        <v>11</v>
      </c>
      <c r="N6" s="33" t="str">
        <f>IF(MASTER!K20=1,"GPF","CPS")</f>
        <v>CPS</v>
      </c>
      <c r="O6" s="31" t="s">
        <v>2</v>
      </c>
      <c r="P6" s="31" t="s">
        <v>1</v>
      </c>
      <c r="Q6" s="34" t="s">
        <v>3</v>
      </c>
      <c r="R6" s="34" t="s">
        <v>127</v>
      </c>
      <c r="S6" s="34" t="str">
        <f>IF(ADJUST!T19="","PLI",ADJUST!T19)</f>
        <v>LIC</v>
      </c>
      <c r="T6" s="29" t="s">
        <v>46</v>
      </c>
      <c r="U6" s="32" t="s">
        <v>38</v>
      </c>
      <c r="V6" s="583"/>
      <c r="W6" s="24"/>
      <c r="X6" s="575" t="s">
        <v>67</v>
      </c>
      <c r="Y6" s="575"/>
      <c r="Z6" s="580" t="s">
        <v>68</v>
      </c>
      <c r="AA6" s="581"/>
      <c r="AB6" s="331" t="s">
        <v>200</v>
      </c>
      <c r="AC6" s="331" t="s">
        <v>365</v>
      </c>
      <c r="AD6" s="331" t="s">
        <v>364</v>
      </c>
      <c r="AG6" s="136"/>
      <c r="AH6" s="136"/>
      <c r="AI6" s="136"/>
      <c r="AJ6" s="136"/>
    </row>
    <row r="7" spans="1:36" ht="19.5" customHeight="1" thickTop="1" thickBot="1">
      <c r="A7" s="23"/>
      <c r="B7" s="16" t="s">
        <v>51</v>
      </c>
      <c r="C7" s="35">
        <f>IF(ADJUST!D20="",AB7,ADJUST!D20)</f>
        <v>0</v>
      </c>
      <c r="D7" s="36" t="str">
        <f>IF(AND(ADJUST!E20="",MASTER!$K$9=""),"",IF(ADJUST!E20="",MASTER!$K$9,ADJUST!E20))</f>
        <v/>
      </c>
      <c r="E7" s="36">
        <f>IF(AND(ADJUST!F20="",C7=""),"",(IF(ADJUST!F20="",ROUND(SUM(C7*0.46),0),ADJUST!F20)))</f>
        <v>0</v>
      </c>
      <c r="F7" s="36">
        <f>IF(ADJUST!G20="",MASTER!$K$10,ADJUST!G20)</f>
        <v>0</v>
      </c>
      <c r="G7" s="36">
        <f>IF(ADJUST!H20="",MASTER!$K$11,ADJUST!H20)</f>
        <v>300</v>
      </c>
      <c r="H7" s="36" t="str">
        <f>IF(AND(ADJUST!I20="",MASTER!$K$12=""),"",IF(ADJUST!I20="",MASTER!$K$12,ADJUST!I20))</f>
        <v/>
      </c>
      <c r="I7" s="36" t="str">
        <f>IF(AND(ADJUST!J20="",MASTER!$K$13=""),"",IF(ADJUST!J20="",MASTER!$K$13,ADJUST!J20))</f>
        <v/>
      </c>
      <c r="J7" s="36" t="str">
        <f>IF(AND(ADJUST!K20="",MASTER!$K$14=""),"",IF(ADJUST!K20="",MASTER!$K$14,ADJUST!K20))</f>
        <v/>
      </c>
      <c r="K7" s="36" t="str">
        <f>IF(AND(ADJUST!L20="",MASTER!$K$15=""),"",IF(ADJUST!L20="",MASTER!$K$15,ADJUST!L20))</f>
        <v/>
      </c>
      <c r="L7" s="36" t="str">
        <f>IF(AND(ADJUST!M20="",MASTER!$K$16=""),"",IF(ADJUST!M20="",MASTER!$K$16,ADJUST!M20))</f>
        <v/>
      </c>
      <c r="M7" s="44">
        <f t="shared" ref="M7:M23" si="0">SUM(C7:L7)</f>
        <v>300</v>
      </c>
      <c r="N7" s="37">
        <f>IF(MASTER!$K$20=1,MASTER!G21,IF(ADJUST!O20="",(ROUND(SUM(C7+E7)*0.1,0)),ADJUST!O20))</f>
        <v>0</v>
      </c>
      <c r="O7" s="36">
        <f>IF(AND(ADJUST!P20="",MASTER!$K$21=""),"",IF(ADJUST!P20="",MASTER!$K$21,ADJUST!P20))</f>
        <v>110</v>
      </c>
      <c r="P7" s="36">
        <f>IF(AND(ADJUST!Q20="",MASTER!$K$22=""),"",IF(ADJUST!Q20="",MASTER!$K$22,ADJUST!Q20))</f>
        <v>70</v>
      </c>
      <c r="Q7" s="36">
        <f>IF(AND(ADJUST!R20="",MASTER!$K$23=""),"",IF(ADJUST!R20="",MASTER!$K$23,ADJUST!R20))</f>
        <v>300</v>
      </c>
      <c r="R7" s="36" t="str">
        <f>IF(AND(ADJUST!S20="",MASTER!$K$24="",MASTER!$K$25=""),"",IF(ADJUST!S20="",(SUM(MASTER!$K$24:$K$25)),ADJUST!S20))</f>
        <v/>
      </c>
      <c r="S7" s="41" t="str">
        <f>IF(AND(ADJUST!T20="",MASTER!$K$26=""),"",IF(ADJUST!T20="",MASTER!$K$26,ADJUST!T20))</f>
        <v/>
      </c>
      <c r="T7" s="317" t="str">
        <f>IF(AND(ADJUST!U20="",ADJUST!V20="",MASTER!E21=0,MASTER!F21=0),"",IF(AND(ADJUST!U20="",ADJUST!V20=""),SUM(MASTER!E21+MASTER!F21),SUM(ADJUST!U20+ADJUST!V20)))</f>
        <v/>
      </c>
      <c r="U7" s="44">
        <f>SUM(N7:T7)</f>
        <v>480</v>
      </c>
      <c r="V7" s="44">
        <f t="shared" ref="V7:V24" si="1">SUM(M7-U7)</f>
        <v>-180</v>
      </c>
      <c r="W7" s="23"/>
      <c r="X7" s="331">
        <f>MASTER!K8</f>
        <v>0</v>
      </c>
      <c r="Y7" s="331"/>
      <c r="Z7" s="331"/>
      <c r="AA7" s="331"/>
      <c r="AB7" s="331">
        <f t="shared" ref="AB7:AB18" si="2">SUM(X7:AA7)</f>
        <v>0</v>
      </c>
      <c r="AC7" s="331">
        <f>ROUND(SUM(AB7*0.04),0)</f>
        <v>0</v>
      </c>
      <c r="AD7" s="331">
        <f>ROUND(AC7*0.1,0)</f>
        <v>0</v>
      </c>
      <c r="AG7" s="332"/>
      <c r="AH7" s="332"/>
      <c r="AI7" s="332"/>
      <c r="AJ7" s="136"/>
    </row>
    <row r="8" spans="1:36" ht="19.5" customHeight="1" thickTop="1" thickBot="1">
      <c r="A8" s="23"/>
      <c r="B8" s="17" t="s">
        <v>52</v>
      </c>
      <c r="C8" s="35">
        <f>IF(ADJUST!D21="",AB8,ADJUST!D21)</f>
        <v>0</v>
      </c>
      <c r="D8" s="36" t="str">
        <f>IF(AND(ADJUST!E21="",MASTER!$K$9=""),"",IF(ADJUST!E21="",MASTER!$K$9,ADJUST!E21))</f>
        <v/>
      </c>
      <c r="E8" s="36">
        <f>IF(AND(ADJUST!F21="",C8=""),"",IF(ADJUST!F21="",IF(OR(MASTER!$K$29=4),(ROUND(SUM(C8*0.5),0)),(ROUND(SUM(C8*0.46),0))),ADJUST!F21))</f>
        <v>0</v>
      </c>
      <c r="F8" s="38">
        <f>IF(ADJUST!G21="",IF(MASTER!$O$10=4,MASTER!$O$11,IF(MASTER!$O$22=4,MASTER!$O$23,F7)),ADJUST!G21)</f>
        <v>0</v>
      </c>
      <c r="G8" s="36">
        <f>IF(ADJUST!H21="",MASTER!$K$11,ADJUST!H21)</f>
        <v>300</v>
      </c>
      <c r="H8" s="36" t="str">
        <f>IF(AND(ADJUST!I21="",MASTER!$K$12=""),"",IF(ADJUST!I21="",MASTER!$K$12,ADJUST!I21))</f>
        <v/>
      </c>
      <c r="I8" s="36" t="str">
        <f>IF(AND(ADJUST!J21="",MASTER!$K$13=""),"",IF(ADJUST!J21="",MASTER!$K$13,ADJUST!J21))</f>
        <v/>
      </c>
      <c r="J8" s="36" t="str">
        <f>IF(AND(ADJUST!K21="",MASTER!$K$14=""),"",IF(ADJUST!K21="",MASTER!$K$14,ADJUST!K21))</f>
        <v/>
      </c>
      <c r="K8" s="36" t="str">
        <f>IF(AND(ADJUST!L21="",MASTER!$K$15=""),"",IF(ADJUST!L21="",MASTER!$K$15,ADJUST!L21))</f>
        <v/>
      </c>
      <c r="L8" s="36" t="str">
        <f>IF(AND(ADJUST!M21="",MASTER!$K$16=""),"",IF(ADJUST!M21="",MASTER!$K$16,ADJUST!M21))</f>
        <v/>
      </c>
      <c r="M8" s="44">
        <f t="shared" si="0"/>
        <v>300</v>
      </c>
      <c r="N8" s="37">
        <f>IF(MASTER!$K$20=1,MASTER!G22,IF(ADJUST!O21="",(ROUND(SUM(C8+E8)*0.1,0)),ADJUST!O21))</f>
        <v>0</v>
      </c>
      <c r="O8" s="36">
        <f>IF(AND(ADJUST!P21="",MASTER!$K$21=""),"",IF(ADJUST!P21="",MASTER!$K$21,ADJUST!P21))</f>
        <v>110</v>
      </c>
      <c r="P8" s="36">
        <f>IF(AND(ADJUST!Q21="",MASTER!$K$22=""),"",IF(ADJUST!Q21="",MASTER!$K$22,ADJUST!Q21))</f>
        <v>70</v>
      </c>
      <c r="Q8" s="36">
        <f>IF(AND(ADJUST!R21="",MASTER!$K$23=""),"",IF(ADJUST!R21="",MASTER!$K$23,ADJUST!R21))</f>
        <v>300</v>
      </c>
      <c r="R8" s="36" t="str">
        <f>IF(AND(ADJUST!S21="",MASTER!$K$24="",MASTER!$K$25=""),"",IF(ADJUST!S21="",(SUM(MASTER!$K$24:$K$25)),ADJUST!S21))</f>
        <v/>
      </c>
      <c r="S8" s="41" t="str">
        <f>IF(AND(ADJUST!T21="",MASTER!$K$26=""),"",IF(ADJUST!T21="",MASTER!$K$26,ADJUST!T21))</f>
        <v/>
      </c>
      <c r="T8" s="316" t="str">
        <f>IF(AND(ADJUST!U21="",ADJUST!V21="",MASTER!E22=0,MASTER!F22=0),"",IF(AND(ADJUST!U21="",ADJUST!V21=""),SUM(MASTER!E22+MASTER!F22),SUM(ADJUST!U21+ADJUST!V21)))</f>
        <v/>
      </c>
      <c r="U8" s="44">
        <f t="shared" ref="U8:U24" si="3">SUM(N8:T8)</f>
        <v>480</v>
      </c>
      <c r="V8" s="44">
        <f t="shared" si="1"/>
        <v>-180</v>
      </c>
      <c r="W8" s="23"/>
      <c r="X8" s="331">
        <f>MASTER!K8</f>
        <v>0</v>
      </c>
      <c r="Y8" s="331">
        <f>IF(MASTER!$O$8=4,(ROUND(SUM(AB7*0.03),-2)),AG7)</f>
        <v>0</v>
      </c>
      <c r="Z8" s="331">
        <f>IF(MASTER!$O$20=4,ROUND((X8+Y8)*0.03,-2),AH7)</f>
        <v>0</v>
      </c>
      <c r="AA8" s="331">
        <f>IF(MASTER!$O$20=4,ROUND((X8+Y8+Z8)*0.03,-2),AI7)</f>
        <v>0</v>
      </c>
      <c r="AB8" s="331">
        <f t="shared" si="2"/>
        <v>0</v>
      </c>
      <c r="AC8" s="331">
        <f t="shared" ref="AC8:AC10" si="4">ROUND(SUM(AB8*0.04),0)</f>
        <v>0</v>
      </c>
      <c r="AD8" s="331">
        <f t="shared" ref="AD8:AD18" si="5">ROUND(AC8*0.1,0)</f>
        <v>0</v>
      </c>
      <c r="AG8" s="136"/>
      <c r="AH8" s="136"/>
      <c r="AI8" s="136"/>
      <c r="AJ8" s="136"/>
    </row>
    <row r="9" spans="1:36" ht="19.5" customHeight="1" thickTop="1" thickBot="1">
      <c r="A9" s="23"/>
      <c r="B9" s="17" t="s">
        <v>53</v>
      </c>
      <c r="C9" s="35">
        <f>IF(ADJUST!D22="",AB9,ADJUST!D22)</f>
        <v>0</v>
      </c>
      <c r="D9" s="36" t="str">
        <f>IF(AND(ADJUST!E22="",MASTER!$K$9=""),"",IF(ADJUST!E22="",MASTER!$K$9,ADJUST!E22))</f>
        <v/>
      </c>
      <c r="E9" s="36">
        <f>IF(AND(ADJUST!F22="",C9=""),"",IF(ADJUST!F22="",IF(OR(MASTER!$K$29=4,MASTER!$K$29=5),(ROUND(SUM(C9*0.5),0)),(ROUND(SUM(C9*0.46),0))),ADJUST!F22))</f>
        <v>0</v>
      </c>
      <c r="F9" s="38">
        <f>IF(ADJUST!G22="",IF(MASTER!$O$10=5,MASTER!$O$11,IF(MASTER!$O$22=5,MASTER!$O$23,F8)),ADJUST!G22)</f>
        <v>0</v>
      </c>
      <c r="G9" s="36">
        <f>IF(ADJUST!H22="",MASTER!$K$11,ADJUST!H22)</f>
        <v>300</v>
      </c>
      <c r="H9" s="36" t="str">
        <f>IF(AND(ADJUST!I22="",MASTER!$K$12=""),"",IF(ADJUST!I22="",MASTER!$K$12,ADJUST!I22))</f>
        <v/>
      </c>
      <c r="I9" s="36" t="str">
        <f>IF(AND(ADJUST!J22="",MASTER!$K$13=""),"",IF(ADJUST!J22="",MASTER!$K$13,ADJUST!J22))</f>
        <v/>
      </c>
      <c r="J9" s="36" t="str">
        <f>IF(AND(ADJUST!K22="",MASTER!$K$14=""),"",IF(ADJUST!K22="",MASTER!$K$14,ADJUST!K22))</f>
        <v/>
      </c>
      <c r="K9" s="36" t="str">
        <f>IF(AND(ADJUST!L22="",MASTER!$K$15=""),"",IF(ADJUST!L22="",MASTER!$K$15,ADJUST!L22))</f>
        <v/>
      </c>
      <c r="L9" s="36" t="str">
        <f>IF(AND(ADJUST!M22="",MASTER!$K$16=""),"",IF(ADJUST!M22="",MASTER!$K$16,ADJUST!M22))</f>
        <v/>
      </c>
      <c r="M9" s="44">
        <f t="shared" si="0"/>
        <v>300</v>
      </c>
      <c r="N9" s="37">
        <f>IF(MASTER!$K$20=1,MASTER!G23,IF(ADJUST!O22="",(ROUND(SUM(C9+E9)*0.1,0)),ADJUST!O22))</f>
        <v>0</v>
      </c>
      <c r="O9" s="36">
        <f>IF(AND(ADJUST!P22="",MASTER!$K$21=""),"",IF(ADJUST!P22="",MASTER!$K$21,ADJUST!P22))</f>
        <v>110</v>
      </c>
      <c r="P9" s="36">
        <f>IF(AND(ADJUST!Q22="",MASTER!$K$22=""),"",IF(ADJUST!Q22="",MASTER!$K$22,ADJUST!Q22))</f>
        <v>70</v>
      </c>
      <c r="Q9" s="36">
        <f>IF(AND(ADJUST!R22="",MASTER!$K$23=""),"",IF(ADJUST!R22="",MASTER!$K$23,ADJUST!R22))</f>
        <v>300</v>
      </c>
      <c r="R9" s="36" t="str">
        <f>IF(AND(ADJUST!S22="",MASTER!$K$24="",MASTER!$K$25=""),"",IF(ADJUST!S22="",(SUM(MASTER!$K$24:$K$25)),ADJUST!S22))</f>
        <v/>
      </c>
      <c r="S9" s="41" t="str">
        <f>IF(AND(ADJUST!T22="",MASTER!$K$26=""),"",IF(ADJUST!T22="",MASTER!$K$26,ADJUST!T22))</f>
        <v/>
      </c>
      <c r="T9" s="316" t="str">
        <f>IF(AND(ADJUST!U22="",ADJUST!V22="",MASTER!E23=0,MASTER!F23=0),"",IF(AND(ADJUST!U22="",ADJUST!V22=""),SUM(MASTER!E23+MASTER!F23),SUM(ADJUST!U22+ADJUST!V22)))</f>
        <v/>
      </c>
      <c r="U9" s="44">
        <f t="shared" si="3"/>
        <v>480</v>
      </c>
      <c r="V9" s="44">
        <f t="shared" si="1"/>
        <v>-180</v>
      </c>
      <c r="W9" s="23"/>
      <c r="X9" s="331">
        <f>MASTER!K8</f>
        <v>0</v>
      </c>
      <c r="Y9" s="331">
        <f>IF(MASTER!$O$8=5,(ROUND(SUM(AB8*0.03),-2)),Y8)</f>
        <v>0</v>
      </c>
      <c r="Z9" s="331">
        <f>IF(MASTER!$O$20=5,ROUND((X9+Y9)*0.03,-2),Z8)</f>
        <v>0</v>
      </c>
      <c r="AA9" s="331">
        <f>IF(MASTER!$O$20=5,ROUND((X9+Y9+Z9)*0.03,-2),AA8)</f>
        <v>0</v>
      </c>
      <c r="AB9" s="331">
        <f t="shared" si="2"/>
        <v>0</v>
      </c>
      <c r="AC9" s="331">
        <f t="shared" si="4"/>
        <v>0</v>
      </c>
      <c r="AD9" s="331">
        <f t="shared" si="5"/>
        <v>0</v>
      </c>
    </row>
    <row r="10" spans="1:36" ht="19.5" customHeight="1" thickTop="1" thickBot="1">
      <c r="A10" s="23"/>
      <c r="B10" s="17" t="s">
        <v>54</v>
      </c>
      <c r="C10" s="35">
        <f>IF(ADJUST!D23="",AB10,ADJUST!D23)</f>
        <v>0</v>
      </c>
      <c r="D10" s="36" t="str">
        <f>IF(AND(ADJUST!E23="",MASTER!$K$9=""),"",IF(ADJUST!E23="",MASTER!$K$9,ADJUST!E23))</f>
        <v/>
      </c>
      <c r="E10" s="36">
        <f>IF(AND(ADJUST!F23="",C10=""),"",IF(ADJUST!F23="",IF(OR(MASTER!$K$29=4,MASTER!$K$29=5,MASTER!$K$29=6),(ROUND(SUM(C10*0.5),0)),(ROUND(SUM(C10*0.46),0))),ADJUST!F23))</f>
        <v>0</v>
      </c>
      <c r="F10" s="38">
        <f>IF(ADJUST!G23="",IF(MASTER!$O$10=6,MASTER!$O$11,IF(MASTER!$O$22=6,MASTER!$O$23,F9)),ADJUST!G23)</f>
        <v>0</v>
      </c>
      <c r="G10" s="36">
        <f>IF(ADJUST!H23="",MASTER!$K$11,ADJUST!H23)</f>
        <v>300</v>
      </c>
      <c r="H10" s="36" t="str">
        <f>IF(AND(ADJUST!I23="",MASTER!$K$12=""),"",IF(ADJUST!I23="",MASTER!$K$12,ADJUST!I23))</f>
        <v/>
      </c>
      <c r="I10" s="36" t="str">
        <f>IF(AND(ADJUST!J23="",MASTER!$K$13=""),"",IF(ADJUST!J23="",MASTER!$K$13,ADJUST!J23))</f>
        <v/>
      </c>
      <c r="J10" s="36" t="str">
        <f>IF(AND(ADJUST!K23="",MASTER!$K$14=""),"",IF(ADJUST!K23="",MASTER!$K$14,ADJUST!K23))</f>
        <v/>
      </c>
      <c r="K10" s="36" t="str">
        <f>IF(AND(ADJUST!L23="",MASTER!$K$15=""),"",IF(ADJUST!L23="",MASTER!$K$15,ADJUST!L23))</f>
        <v/>
      </c>
      <c r="L10" s="36" t="str">
        <f>IF(AND(ADJUST!M23="",MASTER!$K$16=""),"",IF(ADJUST!M23="",MASTER!$K$16,ADJUST!M23))</f>
        <v/>
      </c>
      <c r="M10" s="44">
        <f t="shared" si="0"/>
        <v>300</v>
      </c>
      <c r="N10" s="37">
        <f>IF(MASTER!$K$20=1,MASTER!G24,IF(ADJUST!O23="",(ROUND(SUM(C10+E10)*0.1,0)),ADJUST!O23))</f>
        <v>0</v>
      </c>
      <c r="O10" s="36">
        <f>IF(AND(ADJUST!P23="",MASTER!$K$21=""),"",IF(ADJUST!P23="",MASTER!$K$21,ADJUST!P23))</f>
        <v>110</v>
      </c>
      <c r="P10" s="36">
        <f>IF(AND(ADJUST!Q23="",MASTER!$K$22=""),"",IF(ADJUST!Q23="",MASTER!$K$22,ADJUST!Q23))</f>
        <v>70</v>
      </c>
      <c r="Q10" s="36">
        <f>IF(AND(ADJUST!R23="",MASTER!$K$23=""),"",IF(ADJUST!R23="",MASTER!$K$23,ADJUST!R23))</f>
        <v>300</v>
      </c>
      <c r="R10" s="36" t="str">
        <f>IF(AND(ADJUST!S23="",MASTER!$K$24="",MASTER!$K$25=""),"",IF(ADJUST!S23="",(SUM(MASTER!$K$24:$K$25)),ADJUST!S23))</f>
        <v/>
      </c>
      <c r="S10" s="41" t="str">
        <f>IF(AND(ADJUST!T23="",MASTER!$K$26=""),"",IF(ADJUST!T23="",MASTER!$K$26,ADJUST!T23))</f>
        <v/>
      </c>
      <c r="T10" s="316" t="str">
        <f>IF(AND(ADJUST!U23="",ADJUST!V23="",MASTER!E24=0,MASTER!F24=0),"",IF(AND(ADJUST!U23="",ADJUST!V23=""),SUM(MASTER!E24+MASTER!F24),SUM(ADJUST!U23+ADJUST!V23)))</f>
        <v/>
      </c>
      <c r="U10" s="44">
        <f t="shared" si="3"/>
        <v>480</v>
      </c>
      <c r="V10" s="44">
        <f t="shared" si="1"/>
        <v>-180</v>
      </c>
      <c r="W10" s="23"/>
      <c r="X10" s="331">
        <f>MASTER!K8</f>
        <v>0</v>
      </c>
      <c r="Y10" s="331">
        <f>IF(MASTER!$O$8=6,(ROUND(SUM(AB9*0.03),-2)),Y9)</f>
        <v>0</v>
      </c>
      <c r="Z10" s="331">
        <f>IF(MASTER!$O$20=6,ROUND((X10+Y10)*0.03,-2),Z9)</f>
        <v>0</v>
      </c>
      <c r="AA10" s="331">
        <f>IF(MASTER!$O$20=6,ROUND((X10+Y10+Z10)*0.03,-2),AA9)</f>
        <v>0</v>
      </c>
      <c r="AB10" s="331">
        <f t="shared" si="2"/>
        <v>0</v>
      </c>
      <c r="AC10" s="331">
        <f t="shared" si="4"/>
        <v>0</v>
      </c>
      <c r="AD10" s="331">
        <f t="shared" si="5"/>
        <v>0</v>
      </c>
    </row>
    <row r="11" spans="1:36" ht="19.5" customHeight="1" thickTop="1" thickBot="1">
      <c r="A11" s="23"/>
      <c r="B11" s="17" t="s">
        <v>55</v>
      </c>
      <c r="C11" s="35">
        <f>IF(ADJUST!D24="",AB11,ADJUST!D24)</f>
        <v>0</v>
      </c>
      <c r="D11" s="36" t="str">
        <f>IF(AND(ADJUST!E24="",MASTER!$K$9=""),"",IF(ADJUST!E24="",MASTER!$K$9,ADJUST!E24))</f>
        <v/>
      </c>
      <c r="E11" s="36">
        <f>IF(AND(ADJUST!F24="",C11=""),"",IF(ADJUST!F24="",IF(OR(MASTER!$K$29=4,MASTER!$K$29=5,MASTER!$K$29=6,MASTER!$K$29=7),(ROUND(SUM(C11*0.5),0)),(ROUND(SUM(C11*0.46),0))),ADJUST!F24))</f>
        <v>0</v>
      </c>
      <c r="F11" s="38">
        <f>IF(ADJUST!G24="",IF(MASTER!$O$10=7,MASTER!$O$11,IF(MASTER!$O$22=7,MASTER!$O$23,F10)),ADJUST!G24)</f>
        <v>0</v>
      </c>
      <c r="G11" s="36">
        <f>IF(ADJUST!H24="",MASTER!$K$11,ADJUST!H24)</f>
        <v>300</v>
      </c>
      <c r="H11" s="36" t="str">
        <f>IF(AND(ADJUST!I24="",MASTER!$K$12=""),"",IF(ADJUST!I24="",MASTER!$K$12,ADJUST!I24))</f>
        <v/>
      </c>
      <c r="I11" s="36" t="str">
        <f>IF(AND(ADJUST!J24="",MASTER!$K$13=""),"",IF(ADJUST!J24="",MASTER!$K$13,ADJUST!J24))</f>
        <v/>
      </c>
      <c r="J11" s="36" t="str">
        <f>IF(AND(ADJUST!K24="",MASTER!$K$14=""),"",IF(ADJUST!K24="",MASTER!$K$14,ADJUST!K24))</f>
        <v/>
      </c>
      <c r="K11" s="36" t="str">
        <f>IF(AND(ADJUST!L24="",MASTER!$K$15=""),"",IF(ADJUST!L24="",MASTER!$K$15,ADJUST!L24))</f>
        <v/>
      </c>
      <c r="L11" s="36" t="str">
        <f>IF(AND(ADJUST!M24="",MASTER!$K$16=""),"",IF(ADJUST!M24="",MASTER!$K$16,ADJUST!M24))</f>
        <v/>
      </c>
      <c r="M11" s="44">
        <f t="shared" si="0"/>
        <v>300</v>
      </c>
      <c r="N11" s="37">
        <f>IF(MASTER!$K$20=1,MASTER!G25,IF(ADJUST!O24="",(ROUND(SUM(C11+E11)*0.1,0)),ADJUST!O24))</f>
        <v>0</v>
      </c>
      <c r="O11" s="36">
        <f>IF(AND(ADJUST!P24="",MASTER!$K$21=""),"",IF(ADJUST!P24="",MASTER!$K$21,ADJUST!P24))</f>
        <v>110</v>
      </c>
      <c r="P11" s="36">
        <f>IF(AND(ADJUST!Q24="",MASTER!$K$22=""),"",IF(ADJUST!Q24="",MASTER!$K$22,ADJUST!Q24))</f>
        <v>70</v>
      </c>
      <c r="Q11" s="36">
        <f>IF(AND(ADJUST!R24="",MASTER!$K$23=""),"",IF(ADJUST!R24="",MASTER!$K$23,ADJUST!R24))</f>
        <v>300</v>
      </c>
      <c r="R11" s="36" t="str">
        <f>IF(AND(ADJUST!S24="",MASTER!$K$24="",MASTER!$K$25=""),"",IF(ADJUST!S24="",(SUM(MASTER!$K$24:$K$25)),ADJUST!S24))</f>
        <v/>
      </c>
      <c r="S11" s="41" t="str">
        <f>IF(AND(ADJUST!T24="",MASTER!$K$26=""),"",IF(ADJUST!T24="",MASTER!$K$26,ADJUST!T24))</f>
        <v/>
      </c>
      <c r="T11" s="316" t="str">
        <f>IF(AND(ADJUST!U24="",ADJUST!V24="",MASTER!E25=0,MASTER!F25=0),"",IF(AND(ADJUST!U24="",ADJUST!V24=""),SUM(MASTER!E25+MASTER!F25),SUM(ADJUST!U24+ADJUST!V24)))</f>
        <v/>
      </c>
      <c r="U11" s="44">
        <f t="shared" si="3"/>
        <v>480</v>
      </c>
      <c r="V11" s="44">
        <f t="shared" si="1"/>
        <v>-180</v>
      </c>
      <c r="W11" s="23"/>
      <c r="X11" s="331">
        <f>MASTER!K8</f>
        <v>0</v>
      </c>
      <c r="Y11" s="331">
        <f>IF(MASTER!$O$8=7,(ROUND(SUM(AB10*0.03),-2)),Y10)</f>
        <v>0</v>
      </c>
      <c r="Z11" s="331">
        <f>IF(MASTER!$O$20=7,ROUND((X11+Y11)*0.03,-2),Z10)</f>
        <v>0</v>
      </c>
      <c r="AA11" s="331">
        <f>IF(MASTER!$O$20=7,ROUND((X11+Y11+Z11)*0.03,-2),AA10)</f>
        <v>0</v>
      </c>
      <c r="AB11" s="331">
        <f t="shared" si="2"/>
        <v>0</v>
      </c>
      <c r="AC11" s="331">
        <f>ROUND(SUM(AB11*0.03),0)</f>
        <v>0</v>
      </c>
      <c r="AD11" s="331">
        <f t="shared" si="5"/>
        <v>0</v>
      </c>
    </row>
    <row r="12" spans="1:36" ht="19.5" customHeight="1" thickTop="1" thickBot="1">
      <c r="A12" s="23"/>
      <c r="B12" s="17" t="s">
        <v>50</v>
      </c>
      <c r="C12" s="35">
        <f>IF(ADJUST!D25="",AB12,ADJUST!D25)</f>
        <v>0</v>
      </c>
      <c r="D12" s="36" t="str">
        <f>IF(AND(ADJUST!E25="",MASTER!$K$9=""),"",IF(ADJUST!E25="",MASTER!$K$9,ADJUST!E25))</f>
        <v/>
      </c>
      <c r="E12" s="36">
        <f>IF(AND(ADJUST!F25="",C12=""),"",IF(ADJUST!F25="",IF(OR(MASTER!$K$29=4,MASTER!$K$29=5,MASTER!$K$29=6,MASTER!$K$29=7,MASTER!$K$29=8),(ROUND(SUM(C12*0.5),0)),(ROUND(SUM(C12*0.46),0))),ADJUST!F25))</f>
        <v>0</v>
      </c>
      <c r="F12" s="38">
        <f>IF(ADJUST!G25="",IF(MASTER!$O$10=8,MASTER!$O$11,IF(MASTER!$O$22=8,MASTER!$O$23,F11)),ADJUST!G25)</f>
        <v>0</v>
      </c>
      <c r="G12" s="36">
        <f>IF(ADJUST!H25="",MASTER!$K$11,ADJUST!H25)</f>
        <v>300</v>
      </c>
      <c r="H12" s="36" t="str">
        <f>IF(AND(ADJUST!I25="",MASTER!$K$12=""),"",IF(ADJUST!I25="",MASTER!$K$12,ADJUST!I25))</f>
        <v/>
      </c>
      <c r="I12" s="36" t="str">
        <f>IF(AND(ADJUST!J25="",MASTER!$K$13=""),"",IF(ADJUST!J25="",MASTER!$K$13,ADJUST!J25))</f>
        <v/>
      </c>
      <c r="J12" s="36" t="str">
        <f>IF(AND(ADJUST!K25="",MASTER!$K$14=""),"",IF(ADJUST!K25="",MASTER!$K$14,ADJUST!K25))</f>
        <v/>
      </c>
      <c r="K12" s="36" t="str">
        <f>IF(AND(ADJUST!L25="",MASTER!$K$15=""),"",IF(ADJUST!L25="",MASTER!$K$15,ADJUST!L25))</f>
        <v/>
      </c>
      <c r="L12" s="36" t="str">
        <f>IF(AND(ADJUST!M25="",MASTER!$K$16=""),"",IF(ADJUST!M25="",MASTER!$K$16,ADJUST!M25))</f>
        <v/>
      </c>
      <c r="M12" s="44">
        <f t="shared" si="0"/>
        <v>300</v>
      </c>
      <c r="N12" s="37">
        <f>IF(MASTER!$K$20=1,MASTER!G26,IF(ADJUST!O25="",(ROUND(SUM(C12+E12)*0.1,0)),ADJUST!O25))</f>
        <v>0</v>
      </c>
      <c r="O12" s="36">
        <f>IF(AND(ADJUST!P25="",MASTER!$K$21=""),"",IF(ADJUST!P25="",MASTER!$K$21,ADJUST!P25))</f>
        <v>110</v>
      </c>
      <c r="P12" s="36">
        <f>IF(AND(ADJUST!Q25="",MASTER!$K$22=""),"",IF(ADJUST!Q25="",MASTER!$K$22,ADJUST!Q25))</f>
        <v>70</v>
      </c>
      <c r="Q12" s="36">
        <f>IF(AND(ADJUST!R25="",MASTER!$K$23=""),"",IF(ADJUST!R25="",MASTER!$K$23,ADJUST!R25))</f>
        <v>300</v>
      </c>
      <c r="R12" s="36" t="str">
        <f>IF(AND(ADJUST!S25="",MASTER!$K$24="",MASTER!$K$25=""),"",IF(ADJUST!S25="",(SUM(MASTER!$K$24:$K$25)),ADJUST!S25))</f>
        <v/>
      </c>
      <c r="S12" s="41" t="str">
        <f>IF(AND(ADJUST!T25="",MASTER!$K$26=""),"",IF(ADJUST!T25="",MASTER!$K$26,ADJUST!T25))</f>
        <v/>
      </c>
      <c r="T12" s="316" t="str">
        <f>IF(AND(ADJUST!U25="",ADJUST!V25="",MASTER!E26=0,MASTER!F26=0),"",IF(AND(ADJUST!U25="",ADJUST!V25=""),SUM(MASTER!E26+MASTER!F26),SUM(ADJUST!U25+ADJUST!V25)))</f>
        <v/>
      </c>
      <c r="U12" s="44">
        <f t="shared" si="3"/>
        <v>480</v>
      </c>
      <c r="V12" s="44">
        <f t="shared" si="1"/>
        <v>-180</v>
      </c>
      <c r="W12" s="23"/>
      <c r="X12" s="331">
        <f>MASTER!K8</f>
        <v>0</v>
      </c>
      <c r="Y12" s="331">
        <f>IF(MASTER!$O$8=8,(ROUND(SUM(AB11*0.03),-2)),Y11)</f>
        <v>0</v>
      </c>
      <c r="Z12" s="331">
        <f>IF(MASTER!$O$20=8,ROUND((X12+Y12)*0.03,-2),Z11)</f>
        <v>0</v>
      </c>
      <c r="AA12" s="331">
        <f>IF(MASTER!$O$20=8,ROUND((X12+Y12+Z12)*0.03,-2),AA11)</f>
        <v>0</v>
      </c>
      <c r="AB12" s="331">
        <f t="shared" si="2"/>
        <v>0</v>
      </c>
      <c r="AC12" s="331">
        <f t="shared" ref="AC12:AC18" si="6">ROUND(SUM(AB12*0.03),0)</f>
        <v>0</v>
      </c>
      <c r="AD12" s="331">
        <f t="shared" si="5"/>
        <v>0</v>
      </c>
    </row>
    <row r="13" spans="1:36" ht="19.5" customHeight="1" thickTop="1" thickBot="1">
      <c r="A13" s="23"/>
      <c r="B13" s="17" t="s">
        <v>56</v>
      </c>
      <c r="C13" s="35">
        <f>IF(ADJUST!D26="",AB13,ADJUST!D26)</f>
        <v>0</v>
      </c>
      <c r="D13" s="36" t="str">
        <f>IF(AND(ADJUST!E26="",MASTER!$K$9=""),"",IF(ADJUST!E26="",MASTER!$K$9,ADJUST!E26))</f>
        <v/>
      </c>
      <c r="E13" s="36">
        <f>IF(AND(ADJUST!F26="",C13=""),"",IF(ADJUST!F26="",IF(OR(MASTER!$K$29=4,MASTER!$K$29=5,MASTER!$K$29=6,MASTER!$K$29=7,MASTER!$K$29=8,MASTER!$K$29=9),(ROUND(SUM(C13*0.5),0)),(ROUND(SUM(C13*0.46),0))),ADJUST!F26))</f>
        <v>0</v>
      </c>
      <c r="F13" s="38">
        <f>IF(ADJUST!G26="",IF(MASTER!$O$10=9,MASTER!$O$11,IF(MASTER!$O$22=9,MASTER!$O$23,F12)),ADJUST!G26)</f>
        <v>0</v>
      </c>
      <c r="G13" s="36">
        <f>IF(ADJUST!H26="",MASTER!$K$11,ADJUST!H26)</f>
        <v>300</v>
      </c>
      <c r="H13" s="36" t="str">
        <f>IF(AND(ADJUST!I26="",MASTER!$K$12=""),"",IF(ADJUST!I26="",MASTER!$K$12,ADJUST!I26))</f>
        <v/>
      </c>
      <c r="I13" s="36" t="str">
        <f>IF(AND(ADJUST!J26="",MASTER!$K$13=""),"",IF(ADJUST!J26="",MASTER!$K$13,ADJUST!J26))</f>
        <v/>
      </c>
      <c r="J13" s="36" t="str">
        <f>IF(AND(ADJUST!K26="",MASTER!$K$14=""),"",IF(ADJUST!K26="",MASTER!$K$14,ADJUST!K26))</f>
        <v/>
      </c>
      <c r="K13" s="36" t="str">
        <f>IF(AND(ADJUST!L26="",MASTER!$K$15=""),"",IF(ADJUST!L26="",MASTER!$K$15,ADJUST!L26))</f>
        <v/>
      </c>
      <c r="L13" s="36" t="str">
        <f>IF(AND(ADJUST!M26="",MASTER!$K$16=""),"",IF(ADJUST!M26="",MASTER!$K$16,ADJUST!M26))</f>
        <v/>
      </c>
      <c r="M13" s="44">
        <f t="shared" si="0"/>
        <v>300</v>
      </c>
      <c r="N13" s="37">
        <f>IF(MASTER!$K$20=1,MASTER!G27,IF(ADJUST!O26="",(ROUND(SUM(C13+E13)*0.1,0)),ADJUST!O26))</f>
        <v>0</v>
      </c>
      <c r="O13" s="36">
        <f>IF(AND(ADJUST!P26="",MASTER!$K$21=""),"",IF(ADJUST!P26="",MASTER!$K$21,ADJUST!P26))</f>
        <v>110</v>
      </c>
      <c r="P13" s="36">
        <f>IF(AND(ADJUST!Q26="",MASTER!$K$22=""),"",IF(ADJUST!Q26="",MASTER!$K$22,ADJUST!Q26))</f>
        <v>70</v>
      </c>
      <c r="Q13" s="36">
        <f>IF(AND(ADJUST!R26="",MASTER!$K$23=""),"",IF(ADJUST!R26="",MASTER!$K$23,ADJUST!R26))</f>
        <v>300</v>
      </c>
      <c r="R13" s="36" t="str">
        <f>IF(AND(ADJUST!S26="",MASTER!$K$24="",MASTER!$K$25=""),"",IF(ADJUST!S26="",(SUM(MASTER!$K$24:$K$25)),ADJUST!S26))</f>
        <v/>
      </c>
      <c r="S13" s="41" t="str">
        <f>IF(AND(ADJUST!T26="",MASTER!$K$26=""),"",IF(ADJUST!T26="",MASTER!$K$26,ADJUST!T26))</f>
        <v/>
      </c>
      <c r="T13" s="316" t="str">
        <f>IF(AND(ADJUST!U26="",ADJUST!V26="",MASTER!E27=0,MASTER!F27=0),"",IF(AND(ADJUST!U26="",ADJUST!V26=""),SUM(MASTER!E27+MASTER!F27),SUM(ADJUST!U26+ADJUST!V26)))</f>
        <v/>
      </c>
      <c r="U13" s="44">
        <f t="shared" si="3"/>
        <v>480</v>
      </c>
      <c r="V13" s="44">
        <f t="shared" si="1"/>
        <v>-180</v>
      </c>
      <c r="W13" s="23"/>
      <c r="X13" s="331">
        <f>MASTER!K8</f>
        <v>0</v>
      </c>
      <c r="Y13" s="331">
        <f>IF(MASTER!$O$8=9,(ROUND(SUM(AB12*0.03),-2)),Y12)</f>
        <v>0</v>
      </c>
      <c r="Z13" s="331">
        <f>IF(MASTER!$O$20=9,ROUND((X13+Y13)*0.03,-2),Z12)</f>
        <v>0</v>
      </c>
      <c r="AA13" s="331">
        <f>IF(MASTER!$O$20=9,ROUND((X13+Y13+Z13)*0.03,-2),AA12)</f>
        <v>0</v>
      </c>
      <c r="AB13" s="331">
        <f t="shared" si="2"/>
        <v>0</v>
      </c>
      <c r="AC13" s="331">
        <f t="shared" si="6"/>
        <v>0</v>
      </c>
      <c r="AD13" s="331">
        <f t="shared" si="5"/>
        <v>0</v>
      </c>
    </row>
    <row r="14" spans="1:36" ht="19.5" customHeight="1" thickTop="1" thickBot="1">
      <c r="A14" s="23"/>
      <c r="B14" s="17" t="s">
        <v>57</v>
      </c>
      <c r="C14" s="35">
        <f>IF(ADJUST!D27="",AB14,ADJUST!D27)</f>
        <v>0</v>
      </c>
      <c r="D14" s="36" t="str">
        <f>IF(AND(ADJUST!E27="",MASTER!$K$9=""),"",IF(ADJUST!E27="",MASTER!$K$9,ADJUST!E27))</f>
        <v/>
      </c>
      <c r="E14" s="36">
        <f>IF(AND(ADJUST!F27="",C14=""),"",IF(ADJUST!F27="",IF(OR(MASTER!$K$32=10),(ROUND(SUM(C14*0.53),0)),(ROUND(SUM(C14*0.5),0))),ADJUST!F27))</f>
        <v>0</v>
      </c>
      <c r="F14" s="38">
        <f>IF(ADJUST!G27="",IF(MASTER!$O$10=10,MASTER!$O$11,IF(MASTER!$O$22=10,MASTER!$O$23,F13)),ADJUST!G27)</f>
        <v>0</v>
      </c>
      <c r="G14" s="36">
        <f>IF(ADJUST!H27="",MASTER!$K$11,ADJUST!H27)</f>
        <v>300</v>
      </c>
      <c r="H14" s="36" t="str">
        <f>IF(AND(ADJUST!I27="",MASTER!$K$12=""),"",IF(ADJUST!I27="",MASTER!$K$12,ADJUST!I27))</f>
        <v/>
      </c>
      <c r="I14" s="36" t="str">
        <f>IF(AND(ADJUST!J27="",MASTER!$K$13=""),"",IF(ADJUST!J27="",MASTER!$K$13,ADJUST!J27))</f>
        <v/>
      </c>
      <c r="J14" s="36" t="str">
        <f>IF(AND(ADJUST!K27="",MASTER!$K$14=""),"",IF(ADJUST!K27="",MASTER!$K$14,ADJUST!K27))</f>
        <v/>
      </c>
      <c r="K14" s="36" t="str">
        <f>IF(AND(ADJUST!L27="",MASTER!$K$15=""),"",IF(ADJUST!L27="",MASTER!$K$15,ADJUST!L27))</f>
        <v/>
      </c>
      <c r="L14" s="36" t="str">
        <f>IF(AND(ADJUST!M27="",MASTER!$K$16=""),"",IF(ADJUST!M27="",MASTER!$K$16,ADJUST!M27))</f>
        <v/>
      </c>
      <c r="M14" s="44">
        <f t="shared" si="0"/>
        <v>300</v>
      </c>
      <c r="N14" s="37">
        <f>IF(MASTER!$K$20=1,MASTER!G28,IF(ADJUST!O27="",(ROUND(SUM(C14+E14)*0.1,0)),ADJUST!O27))</f>
        <v>0</v>
      </c>
      <c r="O14" s="36">
        <f>IF(AND(ADJUST!P27="",MASTER!$K$21=""),"",IF(ADJUST!P27="",MASTER!$K$21,ADJUST!P27))</f>
        <v>110</v>
      </c>
      <c r="P14" s="36">
        <f>IF(AND(ADJUST!Q27="",MASTER!$K$22=""),"",IF(ADJUST!Q27="",MASTER!$K$22,ADJUST!Q27))</f>
        <v>70</v>
      </c>
      <c r="Q14" s="36">
        <f>IF(AND(ADJUST!R27="",MASTER!$K$23=""),"",IF(ADJUST!R27="",MASTER!$K$23,ADJUST!R27))</f>
        <v>300</v>
      </c>
      <c r="R14" s="36" t="str">
        <f>IF(AND(ADJUST!S27="",MASTER!$K$24="",MASTER!$K$25=""),"",IF(ADJUST!S27="",(SUM(MASTER!$K$24:$K$25)),ADJUST!S27))</f>
        <v/>
      </c>
      <c r="S14" s="41" t="str">
        <f>IF(AND(ADJUST!T27="",MASTER!$K$26=""),"",IF(ADJUST!T27="",MASTER!$K$26,ADJUST!T27))</f>
        <v/>
      </c>
      <c r="T14" s="316" t="str">
        <f>IF(AND(ADJUST!U27="",ADJUST!V27="",MASTER!E28=0,MASTER!F28=0),"",IF(AND(ADJUST!U27="",ADJUST!V27=""),SUM(MASTER!E28+MASTER!F28),SUM(ADJUST!U27+ADJUST!V27)))</f>
        <v/>
      </c>
      <c r="U14" s="44">
        <f t="shared" si="3"/>
        <v>480</v>
      </c>
      <c r="V14" s="44">
        <f t="shared" si="1"/>
        <v>-180</v>
      </c>
      <c r="W14" s="23"/>
      <c r="X14" s="331">
        <f>MASTER!K8</f>
        <v>0</v>
      </c>
      <c r="Y14" s="331">
        <f>IF(MASTER!$O$8=10,(ROUND(SUM(AB13*0.03),-2)),Y13)</f>
        <v>0</v>
      </c>
      <c r="Z14" s="331">
        <f>IF(MASTER!$O$20=10,ROUND((X14+Y14)*0.03,-2),Z13)</f>
        <v>0</v>
      </c>
      <c r="AA14" s="331">
        <f>IF(MASTER!$O$20=10,ROUND((X14+Y14+Z14)*0.03,-2),AA13)</f>
        <v>0</v>
      </c>
      <c r="AB14" s="331">
        <f t="shared" si="2"/>
        <v>0</v>
      </c>
      <c r="AC14" s="331">
        <f t="shared" si="6"/>
        <v>0</v>
      </c>
      <c r="AD14" s="331">
        <f t="shared" si="5"/>
        <v>0</v>
      </c>
    </row>
    <row r="15" spans="1:36" ht="19.5" customHeight="1" thickTop="1" thickBot="1">
      <c r="A15" s="23"/>
      <c r="B15" s="17" t="s">
        <v>58</v>
      </c>
      <c r="C15" s="35">
        <f>IF(ADJUST!D28="",AB15,ADJUST!D28)</f>
        <v>0</v>
      </c>
      <c r="D15" s="36" t="str">
        <f>IF(AND(ADJUST!E28="",MASTER!$K$9=""),"",IF(ADJUST!E28="",MASTER!$K$9,ADJUST!E28))</f>
        <v/>
      </c>
      <c r="E15" s="36">
        <f>IF(AND(ADJUST!F28="",C15=""),"",IF(ADJUST!F28="",IF(OR(MASTER!$K$32=10,MASTER!$K$32=11),(ROUND(SUM(C15*0.53),0)),(ROUND(SUM(C15*0.5),0))),ADJUST!F28))</f>
        <v>0</v>
      </c>
      <c r="F15" s="38">
        <f>IF(ADJUST!G28="",IF(MASTER!$O$10=11,MASTER!$O$11,IF(MASTER!$O$22=11,MASTER!$O$23,F14)),ADJUST!G28)</f>
        <v>0</v>
      </c>
      <c r="G15" s="36">
        <f>IF(ADJUST!H28="",MASTER!$K$11,ADJUST!H28)</f>
        <v>300</v>
      </c>
      <c r="H15" s="36" t="str">
        <f>IF(AND(ADJUST!I28="",MASTER!$K$12=""),"",IF(ADJUST!I28="",MASTER!$K$12,ADJUST!I28))</f>
        <v/>
      </c>
      <c r="I15" s="36" t="str">
        <f>IF(AND(ADJUST!J28="",MASTER!$K$13=""),"",IF(ADJUST!J28="",MASTER!$K$13,ADJUST!J28))</f>
        <v/>
      </c>
      <c r="J15" s="36" t="str">
        <f>IF(AND(ADJUST!K28="",MASTER!$K$14=""),"",IF(ADJUST!K28="",MASTER!$K$14,ADJUST!K28))</f>
        <v/>
      </c>
      <c r="K15" s="36" t="str">
        <f>IF(AND(ADJUST!L28="",MASTER!$K$15=""),"",IF(ADJUST!L28="",MASTER!$K$15,ADJUST!L28))</f>
        <v/>
      </c>
      <c r="L15" s="36" t="str">
        <f>IF(AND(ADJUST!M28="",MASTER!$K$16=""),"",IF(ADJUST!M28="",MASTER!$K$16,ADJUST!M28))</f>
        <v/>
      </c>
      <c r="M15" s="44">
        <f t="shared" si="0"/>
        <v>300</v>
      </c>
      <c r="N15" s="37">
        <f>IF(MASTER!$K$20=1,MASTER!G29,IF(ADJUST!O28="",(ROUND(SUM(C15+E15)*0.1,0)),ADJUST!O28))</f>
        <v>0</v>
      </c>
      <c r="O15" s="36">
        <f>IF(AND(ADJUST!P28="",MASTER!$K$21=""),"",IF(ADJUST!P28="",MASTER!$K$21,ADJUST!P28))</f>
        <v>110</v>
      </c>
      <c r="P15" s="36">
        <f>IF(AND(ADJUST!Q28="",MASTER!$K$22=""),"",IF(ADJUST!Q28="",MASTER!$K$22,ADJUST!Q28))</f>
        <v>70</v>
      </c>
      <c r="Q15" s="36">
        <f>IF(AND(ADJUST!R28="",MASTER!$K$23=""),"",IF(ADJUST!R28="",MASTER!$K$23,ADJUST!R28))</f>
        <v>300</v>
      </c>
      <c r="R15" s="36" t="str">
        <f>IF(AND(ADJUST!S28="",MASTER!$K$24="",MASTER!$K$25=""),"",IF(ADJUST!S28="",(SUM(MASTER!$K$24:$K$25)),ADJUST!S28))</f>
        <v/>
      </c>
      <c r="S15" s="41" t="str">
        <f>IF(AND(ADJUST!T28="",MASTER!$K$26=""),"",IF(ADJUST!T28="",MASTER!$K$26,ADJUST!T28))</f>
        <v/>
      </c>
      <c r="T15" s="316" t="str">
        <f>IF(AND(ADJUST!U28="",ADJUST!V28="",MASTER!E29=0,MASTER!F29=0),"",IF(AND(ADJUST!U28="",ADJUST!V28=""),SUM(MASTER!E29+MASTER!F29),SUM(ADJUST!U28+ADJUST!V28)))</f>
        <v/>
      </c>
      <c r="U15" s="44">
        <f t="shared" si="3"/>
        <v>480</v>
      </c>
      <c r="V15" s="44">
        <f t="shared" si="1"/>
        <v>-180</v>
      </c>
      <c r="W15" s="23"/>
      <c r="X15" s="331">
        <f>MASTER!K8</f>
        <v>0</v>
      </c>
      <c r="Y15" s="331">
        <f>IF(MASTER!$O$8=11,(ROUND(SUM(AB14*0.03),-2)),Y14)</f>
        <v>0</v>
      </c>
      <c r="Z15" s="331">
        <f>IF(MASTER!$O$20=11,ROUND((X15+Y15)*0.03,-2),Z14)</f>
        <v>0</v>
      </c>
      <c r="AA15" s="331">
        <f>IF(MASTER!$O$20=11,ROUND((X15+Y15+Z15)*0.03,-2),AA14)</f>
        <v>0</v>
      </c>
      <c r="AB15" s="331">
        <f t="shared" si="2"/>
        <v>0</v>
      </c>
      <c r="AC15" s="331">
        <f t="shared" si="6"/>
        <v>0</v>
      </c>
      <c r="AD15" s="331">
        <f t="shared" si="5"/>
        <v>0</v>
      </c>
    </row>
    <row r="16" spans="1:36" ht="19.5" customHeight="1" thickTop="1" thickBot="1">
      <c r="A16" s="23"/>
      <c r="B16" s="17" t="s">
        <v>59</v>
      </c>
      <c r="C16" s="35">
        <f>IF(ADJUST!D29="",AB16,ADJUST!D29)</f>
        <v>0</v>
      </c>
      <c r="D16" s="36" t="str">
        <f>IF(AND(ADJUST!E29="",MASTER!$K$9=""),"",IF(ADJUST!E29="",MASTER!$K$9,ADJUST!E29))</f>
        <v/>
      </c>
      <c r="E16" s="36">
        <f>IF(AND(ADJUST!F29="",C16=""),"",IF(ADJUST!F29="",IF(OR(MASTER!$K$32=10,MASTER!$K$32=11,MASTER!$K$32=12),(ROUND(SUM(C16*0.53),0)),(ROUND(SUM(C16*0.5),0))),ADJUST!F29))</f>
        <v>0</v>
      </c>
      <c r="F16" s="38">
        <f>IF(ADJUST!G29="",IF(MASTER!$O$10=12,MASTER!$O$11,IF(MASTER!$O$22=12,MASTER!$O$23,F15)),ADJUST!G29)</f>
        <v>0</v>
      </c>
      <c r="G16" s="36">
        <f>IF(ADJUST!H29="",MASTER!$K$11,ADJUST!H29)</f>
        <v>300</v>
      </c>
      <c r="H16" s="36" t="str">
        <f>IF(AND(ADJUST!I29="",MASTER!$K$12=""),"",IF(ADJUST!I29="",MASTER!$K$12,ADJUST!I29))</f>
        <v/>
      </c>
      <c r="I16" s="36" t="str">
        <f>IF(AND(ADJUST!J29="",MASTER!$K$13=""),"",IF(ADJUST!J29="",MASTER!$K$13,ADJUST!J29))</f>
        <v/>
      </c>
      <c r="J16" s="36" t="str">
        <f>IF(AND(ADJUST!K29="",MASTER!$K$14=""),"",IF(ADJUST!K29="",MASTER!$K$14,ADJUST!K29))</f>
        <v/>
      </c>
      <c r="K16" s="36" t="str">
        <f>IF(AND(ADJUST!L29="",MASTER!$K$15=""),"",IF(ADJUST!L29="",MASTER!$K$15,ADJUST!L29))</f>
        <v/>
      </c>
      <c r="L16" s="36" t="str">
        <f>IF(AND(ADJUST!M29="",MASTER!$K$16=""),"",IF(ADJUST!M29="",MASTER!$K$16,ADJUST!M29))</f>
        <v/>
      </c>
      <c r="M16" s="44">
        <f t="shared" si="0"/>
        <v>300</v>
      </c>
      <c r="N16" s="37">
        <f>IF(MASTER!$K$20=1,MASTER!G30,IF(ADJUST!O29="",(ROUND(SUM(C16+E16)*0.1,0)),ADJUST!O29))</f>
        <v>0</v>
      </c>
      <c r="O16" s="36">
        <f>IF(AND(ADJUST!P29="",MASTER!$K$21=""),"",IF(ADJUST!P29="",MASTER!$K$21,ADJUST!P29))</f>
        <v>110</v>
      </c>
      <c r="P16" s="36">
        <f>IF(AND(ADJUST!Q29="",MASTER!$K$22=""),"",IF(ADJUST!Q29="",MASTER!$K$22,ADJUST!Q29))</f>
        <v>70</v>
      </c>
      <c r="Q16" s="36">
        <f>IF(AND(ADJUST!R29="",MASTER!$K$23=""),"",IF(ADJUST!R29="",MASTER!$K$23,ADJUST!R29))</f>
        <v>300</v>
      </c>
      <c r="R16" s="36" t="str">
        <f>IF(AND(ADJUST!S29="",MASTER!$K$24="",MASTER!$K$25=""),"",IF(ADJUST!S29="",(SUM(MASTER!$K$24:$K$25)),ADJUST!S29))</f>
        <v/>
      </c>
      <c r="S16" s="41" t="str">
        <f>IF(AND(ADJUST!T29="",MASTER!$K$26=""),"",IF(ADJUST!T29="",MASTER!$K$26,ADJUST!T29))</f>
        <v/>
      </c>
      <c r="T16" s="316" t="str">
        <f>IF(AND(ADJUST!U29="",ADJUST!V29="",MASTER!E30=0,MASTER!F30=0),"",IF(AND(ADJUST!U29="",ADJUST!V29=""),SUM(MASTER!E30+MASTER!F30),SUM(ADJUST!U29+ADJUST!V29)))</f>
        <v/>
      </c>
      <c r="U16" s="44">
        <f t="shared" si="3"/>
        <v>480</v>
      </c>
      <c r="V16" s="44">
        <f t="shared" si="1"/>
        <v>-180</v>
      </c>
      <c r="W16" s="23"/>
      <c r="X16" s="331">
        <f>MASTER!K8</f>
        <v>0</v>
      </c>
      <c r="Y16" s="331">
        <f>IF(MASTER!$O$8=12,(ROUND(SUM(AB15*0.03),-2)),Y15)</f>
        <v>0</v>
      </c>
      <c r="Z16" s="331">
        <f>IF(MASTER!$O$20=12,ROUND((X16+Y16)*0.03,-2),Z15)</f>
        <v>0</v>
      </c>
      <c r="AA16" s="331">
        <f>IF(MASTER!$O$20=12,ROUND((X16+Y16+Z16)*0.03,-2),AA15)</f>
        <v>0</v>
      </c>
      <c r="AB16" s="331">
        <f t="shared" si="2"/>
        <v>0</v>
      </c>
      <c r="AC16" s="331">
        <f t="shared" si="6"/>
        <v>0</v>
      </c>
      <c r="AD16" s="331">
        <f t="shared" si="5"/>
        <v>0</v>
      </c>
    </row>
    <row r="17" spans="1:30" ht="19.5" customHeight="1" thickTop="1" thickBot="1">
      <c r="A17" s="23"/>
      <c r="B17" s="17" t="s">
        <v>60</v>
      </c>
      <c r="C17" s="35">
        <f>IF(ADJUST!D30="",AB17,ADJUST!D30)</f>
        <v>0</v>
      </c>
      <c r="D17" s="36" t="str">
        <f>IF(AND(ADJUST!E30="",MASTER!$K$9=""),"",IF(ADJUST!E30="",MASTER!$K$9,ADJUST!E30))</f>
        <v/>
      </c>
      <c r="E17" s="36">
        <f>IF(AND(ADJUST!F30="",C17=""),"",IF(ADJUST!F30="",IF(OR(MASTER!$K$32=10,MASTER!$K$32=11,MASTER!$K$32=12,MASTER!$K$32=1),(ROUND(SUM(C17*0.53),0)),(ROUND(SUM(C17*0.5),0))),ADJUST!F30))</f>
        <v>0</v>
      </c>
      <c r="F17" s="38">
        <f>IF(ADJUST!G30="",IF(MASTER!$O$10=1,MASTER!$O$11,IF(MASTER!$O$22=1,MASTER!$O$23,F16)),ADJUST!G30)</f>
        <v>0</v>
      </c>
      <c r="G17" s="36">
        <f>IF(ADJUST!H30="",MASTER!$K$11,ADJUST!H30)</f>
        <v>300</v>
      </c>
      <c r="H17" s="36" t="str">
        <f>IF(AND(ADJUST!I30="",MASTER!$K$12=""),"",IF(ADJUST!I30="",MASTER!$K$12,ADJUST!I30))</f>
        <v/>
      </c>
      <c r="I17" s="36" t="str">
        <f>IF(AND(ADJUST!J30="",MASTER!$K$13=""),"",IF(ADJUST!J30="",MASTER!$K$13,ADJUST!J30))</f>
        <v/>
      </c>
      <c r="J17" s="36" t="str">
        <f>IF(AND(ADJUST!K30="",MASTER!$K$14=""),"",IF(ADJUST!K30="",MASTER!$K$14,ADJUST!K30))</f>
        <v/>
      </c>
      <c r="K17" s="36" t="str">
        <f>IF(AND(ADJUST!L30="",MASTER!$K$15=""),"",IF(ADJUST!L30="",MASTER!$K$15,ADJUST!L30))</f>
        <v/>
      </c>
      <c r="L17" s="36" t="str">
        <f>IF(AND(ADJUST!M30="",MASTER!$K$16=""),"",IF(ADJUST!M30="",MASTER!$K$16,ADJUST!M30))</f>
        <v/>
      </c>
      <c r="M17" s="44">
        <f t="shared" si="0"/>
        <v>300</v>
      </c>
      <c r="N17" s="37">
        <f>IF(MASTER!$K$20=1,MASTER!G31,IF(ADJUST!O30="",(ROUND(SUM(C17+E17)*0.1,0)),ADJUST!O30))</f>
        <v>0</v>
      </c>
      <c r="O17" s="36">
        <f>IF(AND(ADJUST!P30="",MASTER!$K$21=""),"",IF(ADJUST!P30="",MASTER!$K$21,ADJUST!P30))</f>
        <v>110</v>
      </c>
      <c r="P17" s="36">
        <f>IF(AND(ADJUST!Q30="",MASTER!$K$22=""),"",IF(ADJUST!Q30="",MASTER!$K$22,ADJUST!Q30))</f>
        <v>70</v>
      </c>
      <c r="Q17" s="36">
        <f>IF(AND(ADJUST!R30="",MASTER!$K$23=""),"",IF(ADJUST!R30="",MASTER!$K$23,ADJUST!R30))</f>
        <v>300</v>
      </c>
      <c r="R17" s="36" t="str">
        <f>IF(AND(ADJUST!S30="",MASTER!$K$24="",MASTER!$K$25=""),"",IF(ADJUST!S30="",(SUM(MASTER!$K$24:$K$25)),ADJUST!S30))</f>
        <v/>
      </c>
      <c r="S17" s="41" t="str">
        <f>IF(AND(ADJUST!T30="",MASTER!$K$26=""),"",IF(ADJUST!T30="",MASTER!$K$26,ADJUST!T30))</f>
        <v/>
      </c>
      <c r="T17" s="316" t="str">
        <f>IF(AND(ADJUST!U30="",ADJUST!V30="",MASTER!E31=0,MASTER!F31=0),"",IF(AND(ADJUST!U30="",ADJUST!V30=""),SUM(MASTER!E31+MASTER!F31),SUM(ADJUST!U30+ADJUST!V30)))</f>
        <v/>
      </c>
      <c r="U17" s="44">
        <f t="shared" si="3"/>
        <v>480</v>
      </c>
      <c r="V17" s="44">
        <f t="shared" si="1"/>
        <v>-180</v>
      </c>
      <c r="W17" s="23"/>
      <c r="X17" s="331">
        <f>MASTER!K8</f>
        <v>0</v>
      </c>
      <c r="Y17" s="331">
        <f>IF(MASTER!$O$8=1,(ROUND(SUM(AB16*0.03),-2)),Y16)</f>
        <v>0</v>
      </c>
      <c r="Z17" s="331">
        <f>IF(MASTER!$O$20=1,ROUND((X17+Y17)*0.03,-2),Z16)</f>
        <v>0</v>
      </c>
      <c r="AA17" s="331">
        <f>IF(MASTER!$O$20=1,ROUND((X17+Y17+Z17)*0.03,-2),AA16)</f>
        <v>0</v>
      </c>
      <c r="AB17" s="331">
        <f t="shared" si="2"/>
        <v>0</v>
      </c>
      <c r="AC17" s="331">
        <f t="shared" si="6"/>
        <v>0</v>
      </c>
      <c r="AD17" s="331">
        <f t="shared" si="5"/>
        <v>0</v>
      </c>
    </row>
    <row r="18" spans="1:30" ht="19.5" customHeight="1" thickTop="1" thickBot="1">
      <c r="A18" s="23"/>
      <c r="B18" s="17" t="s">
        <v>61</v>
      </c>
      <c r="C18" s="35">
        <f>IF(ADJUST!D31="",AB18,ADJUST!D31)</f>
        <v>0</v>
      </c>
      <c r="D18" s="36" t="str">
        <f>IF(AND(ADJUST!E31="",MASTER!$K$9=""),"",IF(ADJUST!E31="",MASTER!$K$9,ADJUST!E31))</f>
        <v/>
      </c>
      <c r="E18" s="36">
        <f>IF(AND(ADJUST!F31="",C18=""),"",IF(ADJUST!F31="",IF(OR(MASTER!$K$32=10,MASTER!$K$32=11,MASTER!$K$32=12,MASTER!$K$32=1,MASTER!$K$32=2),(ROUND(SUM(C18*0.53),0)),(ROUND(SUM(C18*0.5),0))),ADJUST!F31))</f>
        <v>0</v>
      </c>
      <c r="F18" s="38">
        <f>IF(ADJUST!G31="",IF(MASTER!$O$10=2,MASTER!$O$11,IF(MASTER!$O$22=2,MASTER!$O$23,F17)),ADJUST!G31)</f>
        <v>0</v>
      </c>
      <c r="G18" s="36">
        <f>IF(ADJUST!H31="",MASTER!$K$11,ADJUST!H31)</f>
        <v>300</v>
      </c>
      <c r="H18" s="36" t="str">
        <f>IF(AND(ADJUST!I31="",MASTER!$K$12=""),"",IF(ADJUST!I31="",MASTER!$K$12,ADJUST!I31))</f>
        <v/>
      </c>
      <c r="I18" s="36" t="str">
        <f>IF(AND(ADJUST!J31="",MASTER!$K$13=""),"",IF(ADJUST!J31="",MASTER!$K$13,ADJUST!J31))</f>
        <v/>
      </c>
      <c r="J18" s="36" t="str">
        <f>IF(AND(ADJUST!K31="",MASTER!$K$14=""),"",IF(ADJUST!K31="",MASTER!$K$14,ADJUST!K31))</f>
        <v/>
      </c>
      <c r="K18" s="36" t="str">
        <f>IF(AND(ADJUST!L31="",MASTER!$K$15=""),"",IF(ADJUST!L31="",MASTER!$K$15,ADJUST!L31))</f>
        <v/>
      </c>
      <c r="L18" s="36" t="str">
        <f>IF(AND(ADJUST!M31="",MASTER!$K$16=""),"",IF(ADJUST!M31="",MASTER!$K$16,ADJUST!M31))</f>
        <v/>
      </c>
      <c r="M18" s="44">
        <f t="shared" si="0"/>
        <v>300</v>
      </c>
      <c r="N18" s="37">
        <f>IF(MASTER!$K$20=1,MASTER!G32,IF(ADJUST!O31="",(ROUND(SUM(C18+E18)*0.1,0)),ADJUST!O31))</f>
        <v>0</v>
      </c>
      <c r="O18" s="36">
        <f>IF(AND(ADJUST!P31="",MASTER!$K$21=""),"",IF(ADJUST!P31="",MASTER!$K$21,ADJUST!P31))</f>
        <v>110</v>
      </c>
      <c r="P18" s="36">
        <f>IF(AND(ADJUST!Q31="",MASTER!$K$22=""),"",IF(ADJUST!Q31="",MASTER!$K$22,ADJUST!Q31))</f>
        <v>70</v>
      </c>
      <c r="Q18" s="36">
        <f>IF(AND(ADJUST!R31="",MASTER!$K$23=""),"",IF(ADJUST!R31="",MASTER!$K$23,ADJUST!R31))</f>
        <v>300</v>
      </c>
      <c r="R18" s="36" t="str">
        <f>IF(AND(ADJUST!S31="",MASTER!$K$24="",MASTER!$K$25=""),"",IF(ADJUST!S31="",(SUM(MASTER!$K$24:$K$25)),ADJUST!S31))</f>
        <v/>
      </c>
      <c r="S18" s="41" t="str">
        <f>IF(AND(ADJUST!T31="",MASTER!$K$26=""),"",IF(ADJUST!T31="",MASTER!$K$26,ADJUST!T31))</f>
        <v/>
      </c>
      <c r="T18" s="316" t="str">
        <f>IF(AND(ADJUST!U31="",ADJUST!V31="",MASTER!E32=0,MASTER!F32=0),"",IF(AND(ADJUST!U31="",ADJUST!V31=""),SUM(MASTER!E32+MASTER!F32),SUM(ADJUST!U31+ADJUST!V31)))</f>
        <v/>
      </c>
      <c r="U18" s="44">
        <f t="shared" si="3"/>
        <v>480</v>
      </c>
      <c r="V18" s="44">
        <f t="shared" si="1"/>
        <v>-180</v>
      </c>
      <c r="W18" s="23"/>
      <c r="X18" s="331">
        <f>MASTER!K8</f>
        <v>0</v>
      </c>
      <c r="Y18" s="331">
        <f>IF(MASTER!$O$8=2,(ROUND(SUM(AB17*0.03),-2)),Y17)</f>
        <v>0</v>
      </c>
      <c r="Z18" s="331">
        <f>IF(MASTER!$O$20=2,ROUND((X18+Y18)*0.03,-2),Z17)</f>
        <v>0</v>
      </c>
      <c r="AA18" s="331">
        <f>IF(MASTER!$O$20=2,ROUND((X18+Y18+Z18)*0.03,-2),AA17)</f>
        <v>0</v>
      </c>
      <c r="AB18" s="331">
        <f t="shared" si="2"/>
        <v>0</v>
      </c>
      <c r="AC18" s="331">
        <f t="shared" si="6"/>
        <v>0</v>
      </c>
      <c r="AD18" s="331">
        <f t="shared" si="5"/>
        <v>0</v>
      </c>
    </row>
    <row r="19" spans="1:30" ht="19.5" customHeight="1" thickTop="1" thickBot="1">
      <c r="A19" s="23"/>
      <c r="B19" s="40" t="s">
        <v>39</v>
      </c>
      <c r="C19" s="35"/>
      <c r="D19" s="38"/>
      <c r="E19" s="38">
        <f>IF(AND(ADJUST!F33="",MASTER!K30=""),AC19,IF(ADJUST!F33="",MASTER!K30,ADJUST!F33))</f>
        <v>0</v>
      </c>
      <c r="F19" s="38"/>
      <c r="G19" s="38"/>
      <c r="H19" s="38"/>
      <c r="I19" s="38"/>
      <c r="J19" s="38"/>
      <c r="K19" s="38"/>
      <c r="L19" s="38"/>
      <c r="M19" s="44">
        <f t="shared" si="0"/>
        <v>0</v>
      </c>
      <c r="N19" s="37">
        <f>IF(MASTER!$K$20=1,0,IF(AND(ADJUST!O33="",MASTER!K31=""),AD19,IF(ADJUST!O33="",MASTER!K31,ADJUST!O33)))</f>
        <v>0</v>
      </c>
      <c r="O19" s="38"/>
      <c r="P19" s="38"/>
      <c r="Q19" s="38"/>
      <c r="R19" s="39"/>
      <c r="S19" s="39"/>
      <c r="T19" s="39" t="str">
        <f>IF(AND(ADJUST!U33="",ADJUST!V33=""),"",SUM(ADJUST!U33+ADJUST!V33))</f>
        <v/>
      </c>
      <c r="U19" s="44">
        <f t="shared" si="3"/>
        <v>0</v>
      </c>
      <c r="V19" s="44">
        <f t="shared" si="1"/>
        <v>0</v>
      </c>
      <c r="W19" s="23"/>
      <c r="X19" s="575" t="s">
        <v>366</v>
      </c>
      <c r="Y19" s="575"/>
      <c r="Z19" s="575"/>
      <c r="AA19" s="575"/>
      <c r="AB19" s="575"/>
      <c r="AC19" s="331">
        <f>IF(MASTER!K29=4,SUM(AC7*3),IF(MASTER!K29=5,SUM(AC7*3,AC8),IF(MASTER!K29=6,SUM(AC7*3,AC8:AC9),IF(MASTER!K29=7,SUM(AC7*3,AC8:AC10),IF(MASTER!K29=8,SUM(AC7*3,AC8:AC11),IF(MASTER!K29=9,SUM(AC7*3,AC8:AC12),ADJUST!F33))))))</f>
        <v>0</v>
      </c>
      <c r="AD19" s="331">
        <f>IF(MASTER!K29=4,SUM(AD7*3),IF(MASTER!K29=5,SUM(AD7*3,AD8),IF(MASTER!K29=6,SUM(AD7*3,AD8:AD9),IF(MASTER!K29=7,SUM(AD7*3,AD8:AD10),IF(MASTER!K29=8,SUM(AD7*3,AD8:AD11),IF(MASTER!K29=9,SUM(AD7*3,AD8:AD12),ADJUST!O33))))))</f>
        <v>0</v>
      </c>
    </row>
    <row r="20" spans="1:30" ht="19.5" customHeight="1" thickTop="1" thickBot="1">
      <c r="A20" s="23"/>
      <c r="B20" s="40" t="s">
        <v>40</v>
      </c>
      <c r="C20" s="35"/>
      <c r="D20" s="38"/>
      <c r="E20" s="38">
        <f>IF(AND(ADJUST!F34="",MASTER!K33=""),AC20,IF(ADJUST!F34="",MASTER!K33,ADJUST!F34))</f>
        <v>0</v>
      </c>
      <c r="F20" s="38"/>
      <c r="G20" s="38"/>
      <c r="H20" s="38"/>
      <c r="I20" s="38"/>
      <c r="J20" s="38"/>
      <c r="K20" s="38"/>
      <c r="L20" s="38"/>
      <c r="M20" s="44">
        <f t="shared" si="0"/>
        <v>0</v>
      </c>
      <c r="N20" s="37">
        <f>IF(MASTER!$K$20=1,0,IF(AND(ADJUST!O34="",MASTER!K34=""),AD20,IF(ADJUST!O34="",MASTER!K34,ADJUST!O34)))</f>
        <v>0</v>
      </c>
      <c r="O20" s="38"/>
      <c r="P20" s="38"/>
      <c r="Q20" s="38"/>
      <c r="R20" s="41"/>
      <c r="S20" s="41"/>
      <c r="T20" s="39" t="str">
        <f>IF(AND(ADJUST!U34="",ADJUST!V34=""),"",SUM(ADJUST!U34+ADJUST!V34))</f>
        <v/>
      </c>
      <c r="U20" s="44">
        <f t="shared" si="3"/>
        <v>0</v>
      </c>
      <c r="V20" s="44">
        <f t="shared" si="1"/>
        <v>0</v>
      </c>
      <c r="W20" s="23"/>
      <c r="X20" s="575" t="s">
        <v>367</v>
      </c>
      <c r="Y20" s="575"/>
      <c r="Z20" s="575"/>
      <c r="AA20" s="575"/>
      <c r="AB20" s="575"/>
      <c r="AC20" s="331">
        <f>IF(MASTER!K32=10,SUM(AC11:AC13),IF(MASTER!K32=11,SUM(AC11:AC14),IF(MASTER!K32=12,SUM(AC11:AC15),IF(MASTER!K32=1,SUM(AC11:AC16),IF(MASTER!K32=2,SUM(AC11:AC17),ADJUST!F34)))))</f>
        <v>0</v>
      </c>
      <c r="AD20" s="331">
        <f>IF(MASTER!K32=10,SUM(AD11:AD13),IF(MASTER!K32=11,SUM(AD11:AD14),IF(MASTER!K32=12,SUM(AD11:AD15),IF(MASTER!K32=1,SUM(AD11:AD16),IF(MASTER!K32=2,SUM(AD11:AD17),ADJUST!F34)))))</f>
        <v>0</v>
      </c>
    </row>
    <row r="21" spans="1:30" ht="19.5" customHeight="1" thickTop="1" thickBot="1">
      <c r="A21" s="23"/>
      <c r="B21" s="93" t="s">
        <v>117</v>
      </c>
      <c r="C21" s="38" t="str">
        <f>IF(AND(ADJUST!D35="",MASTER!O13=""),"",IF(ADJUST!D35="",MASTER!O13,ADJUST!D35))</f>
        <v/>
      </c>
      <c r="D21" s="38" t="str">
        <f>IF(AND(ADJUST!E35="",MASTER!O14=""),"",IF(ADJUST!E35="",MASTER!O14,ADJUST!E35))</f>
        <v/>
      </c>
      <c r="E21" s="38" t="str">
        <f>IF(AND(ADJUST!F35="",MASTER!O15=""),"",IF(ADJUST!F35="",MASTER!O15,ADJUST!F35))</f>
        <v/>
      </c>
      <c r="F21" s="38" t="str">
        <f>IF(AND(ADJUST!G35="",MASTER!O16=""),"",IF(ADJUST!G35="",MASTER!O16,ADJUST!G35))</f>
        <v/>
      </c>
      <c r="G21" s="38" t="str">
        <f>IF(ADJUST!H35="","",ADJUST!H35)</f>
        <v/>
      </c>
      <c r="H21" s="38" t="str">
        <f>IF(ADJUST!I35="","",ADJUST!I35)</f>
        <v/>
      </c>
      <c r="I21" s="38" t="str">
        <f>IF(ADJUST!J35="","",ADJUST!J35)</f>
        <v/>
      </c>
      <c r="J21" s="38" t="str">
        <f>IF(ADJUST!K35="","",ADJUST!K35)</f>
        <v/>
      </c>
      <c r="K21" s="38" t="str">
        <f>IF(ADJUST!L35="","",ADJUST!L35)</f>
        <v/>
      </c>
      <c r="L21" s="38" t="str">
        <f>IF(ADJUST!M35="","",ADJUST!M35)</f>
        <v/>
      </c>
      <c r="M21" s="44">
        <f t="shared" si="0"/>
        <v>0</v>
      </c>
      <c r="N21" s="37" t="str">
        <f>IF(AND(ADJUST!O35="",MASTER!O17=""),"",IF(ADJUST!O35="",MASTER!O17,ADJUST!O35))</f>
        <v/>
      </c>
      <c r="O21" s="37" t="str">
        <f>IF(ADJUST!P35="","",ADJUST!P35)</f>
        <v/>
      </c>
      <c r="P21" s="37" t="str">
        <f>IF(ADJUST!Q35="","",ADJUST!Q35)</f>
        <v/>
      </c>
      <c r="Q21" s="37" t="str">
        <f>IF(ADJUST!R35="","",ADJUST!R35)</f>
        <v/>
      </c>
      <c r="R21" s="37" t="str">
        <f>IF(ADJUST!S35="","",ADJUST!S35)</f>
        <v/>
      </c>
      <c r="S21" s="315" t="str">
        <f>IF(ADJUST!T35="","",ADJUST!T35)</f>
        <v/>
      </c>
      <c r="T21" s="39" t="str">
        <f>IF(AND(ADJUST!U35="",ADJUST!V35=""),"",SUM(ADJUST!U35+ADJUST!V35))</f>
        <v/>
      </c>
      <c r="U21" s="44">
        <f t="shared" si="3"/>
        <v>0</v>
      </c>
      <c r="V21" s="44">
        <f t="shared" si="1"/>
        <v>0</v>
      </c>
      <c r="W21" s="23"/>
      <c r="X21" s="23"/>
    </row>
    <row r="22" spans="1:30" ht="19.5" customHeight="1" thickTop="1" thickBot="1">
      <c r="A22" s="23"/>
      <c r="B22" s="42" t="s">
        <v>118</v>
      </c>
      <c r="C22" s="38" t="str">
        <f>IF(AND(ADJUST!D36="",MASTER!O25=""),"",IF(ADJUST!D36="",MASTER!O25,ADJUST!D36))</f>
        <v/>
      </c>
      <c r="D22" s="38" t="str">
        <f>IF(AND(ADJUST!E36="",MASTER!O26=""),"",IF(ADJUST!E36="",MASTER!O26,ADJUST!E36))</f>
        <v/>
      </c>
      <c r="E22" s="38" t="str">
        <f>IF(AND(ADJUST!F36="",MASTER!O27=""),"",IF(ADJUST!F36="",MASTER!O27,ADJUST!F36))</f>
        <v/>
      </c>
      <c r="F22" s="38" t="str">
        <f>IF(AND(ADJUST!G36="",MASTER!O28=""),"",IF(ADJUST!G36="",MASTER!O28,ADJUST!G36))</f>
        <v/>
      </c>
      <c r="G22" s="38" t="str">
        <f>IF(ADJUST!H36="","",ADJUST!H36)</f>
        <v/>
      </c>
      <c r="H22" s="38" t="str">
        <f>IF(ADJUST!I36="","",ADJUST!I36)</f>
        <v/>
      </c>
      <c r="I22" s="38" t="str">
        <f>IF(ADJUST!J36="","",ADJUST!J36)</f>
        <v/>
      </c>
      <c r="J22" s="38" t="str">
        <f>IF(ADJUST!K36="","",ADJUST!K36)</f>
        <v/>
      </c>
      <c r="K22" s="38" t="str">
        <f>IF(ADJUST!L36="","",ADJUST!L36)</f>
        <v/>
      </c>
      <c r="L22" s="38" t="str">
        <f>IF(ADJUST!M36="","",ADJUST!M36)</f>
        <v/>
      </c>
      <c r="M22" s="44">
        <f t="shared" si="0"/>
        <v>0</v>
      </c>
      <c r="N22" s="37" t="str">
        <f>IF(AND(ADJUST!O36="",MASTER!O29=""),"",IF(ADJUST!O36="",MASTER!O29,ADJUST!O36))</f>
        <v/>
      </c>
      <c r="O22" s="37" t="str">
        <f>IF(ADJUST!P36="","",ADJUST!P36)</f>
        <v/>
      </c>
      <c r="P22" s="37" t="str">
        <f>IF(ADJUST!Q36="","",ADJUST!Q36)</f>
        <v/>
      </c>
      <c r="Q22" s="37" t="str">
        <f>IF(ADJUST!R36="","",ADJUST!R36)</f>
        <v/>
      </c>
      <c r="R22" s="37" t="str">
        <f>IF(ADJUST!S36="","",ADJUST!S36)</f>
        <v/>
      </c>
      <c r="S22" s="315" t="str">
        <f>IF(ADJUST!T36="","",ADJUST!T36)</f>
        <v/>
      </c>
      <c r="T22" s="39" t="str">
        <f>IF(AND(ADJUST!U36="",ADJUST!V36=""),"",SUM(ADJUST!U36+ADJUST!V36))</f>
        <v/>
      </c>
      <c r="U22" s="44">
        <f t="shared" si="3"/>
        <v>0</v>
      </c>
      <c r="V22" s="44">
        <f t="shared" si="1"/>
        <v>0</v>
      </c>
      <c r="W22" s="23"/>
      <c r="X22" s="23"/>
    </row>
    <row r="23" spans="1:30" ht="19.5" customHeight="1" thickTop="1" thickBot="1">
      <c r="A23" s="23"/>
      <c r="B23" s="94" t="s">
        <v>119</v>
      </c>
      <c r="C23" s="38" t="str">
        <f>IF(ADJUST!D37="","",ADJUST!D37)</f>
        <v/>
      </c>
      <c r="D23" s="38" t="str">
        <f>IF(ADJUST!E37="","",ADJUST!E37)</f>
        <v/>
      </c>
      <c r="E23" s="38" t="str">
        <f>IF(ADJUST!F37="","",ADJUST!F37)</f>
        <v/>
      </c>
      <c r="F23" s="38" t="str">
        <f>IF(ADJUST!G37="","",ADJUST!G37)</f>
        <v/>
      </c>
      <c r="G23" s="38" t="str">
        <f>IF(ADJUST!H37="","",ADJUST!H37)</f>
        <v/>
      </c>
      <c r="H23" s="38" t="str">
        <f>IF(ADJUST!I37="","",ADJUST!I37)</f>
        <v/>
      </c>
      <c r="I23" s="38" t="str">
        <f>IF(ADJUST!J37="","",ADJUST!J37)</f>
        <v/>
      </c>
      <c r="J23" s="38" t="str">
        <f>IF(ADJUST!K37="","",ADJUST!K37)</f>
        <v/>
      </c>
      <c r="K23" s="38" t="str">
        <f>IF(ADJUST!L37="","",ADJUST!L37)</f>
        <v/>
      </c>
      <c r="L23" s="38" t="str">
        <f>IF(ADJUST!M37="","",ADJUST!M37)</f>
        <v/>
      </c>
      <c r="M23" s="44">
        <f t="shared" si="0"/>
        <v>0</v>
      </c>
      <c r="N23" s="37" t="str">
        <f>IF(ADJUST!O37="","",ADJUST!O37)</f>
        <v/>
      </c>
      <c r="O23" s="37" t="str">
        <f>IF(ADJUST!P37="","",ADJUST!P37)</f>
        <v/>
      </c>
      <c r="P23" s="37" t="str">
        <f>IF(ADJUST!Q37="","",ADJUST!Q37)</f>
        <v/>
      </c>
      <c r="Q23" s="37" t="str">
        <f>IF(ADJUST!R37="","",ADJUST!R37)</f>
        <v/>
      </c>
      <c r="R23" s="37" t="str">
        <f>IF(ADJUST!S37="","",ADJUST!S37)</f>
        <v/>
      </c>
      <c r="S23" s="315" t="str">
        <f>IF(ADJUST!T37="","",ADJUST!T37)</f>
        <v/>
      </c>
      <c r="T23" s="39" t="str">
        <f>IF(AND(ADJUST!U37="",ADJUST!V37=""),"",SUM(ADJUST!U37+ADJUST!V37))</f>
        <v/>
      </c>
      <c r="U23" s="44">
        <f t="shared" si="3"/>
        <v>0</v>
      </c>
      <c r="V23" s="44">
        <f t="shared" si="1"/>
        <v>0</v>
      </c>
      <c r="W23" s="23"/>
      <c r="X23" s="23"/>
    </row>
    <row r="24" spans="1:30" ht="19.5" customHeight="1" thickTop="1" thickBot="1">
      <c r="A24" s="23"/>
      <c r="B24" s="94" t="s">
        <v>131</v>
      </c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44">
        <f>SUM(MASTER!K17)</f>
        <v>0</v>
      </c>
      <c r="N24" s="37"/>
      <c r="O24" s="38"/>
      <c r="P24" s="38"/>
      <c r="Q24" s="38"/>
      <c r="R24" s="39"/>
      <c r="S24" s="39"/>
      <c r="T24" s="320"/>
      <c r="U24" s="44">
        <f t="shared" si="3"/>
        <v>0</v>
      </c>
      <c r="V24" s="44">
        <f t="shared" si="1"/>
        <v>0</v>
      </c>
      <c r="W24" s="23"/>
      <c r="X24" s="23"/>
    </row>
    <row r="25" spans="1:30" ht="24" customHeight="1" thickTop="1" thickBot="1">
      <c r="A25" s="23"/>
      <c r="B25" s="29" t="s">
        <v>8</v>
      </c>
      <c r="C25" s="44">
        <f t="shared" ref="C25:V25" si="7">SUM(C7:C24)</f>
        <v>0</v>
      </c>
      <c r="D25" s="44">
        <f t="shared" si="7"/>
        <v>0</v>
      </c>
      <c r="E25" s="44">
        <f t="shared" si="7"/>
        <v>0</v>
      </c>
      <c r="F25" s="44">
        <f t="shared" si="7"/>
        <v>0</v>
      </c>
      <c r="G25" s="44">
        <f t="shared" si="7"/>
        <v>3600</v>
      </c>
      <c r="H25" s="44">
        <f t="shared" si="7"/>
        <v>0</v>
      </c>
      <c r="I25" s="44">
        <f t="shared" si="7"/>
        <v>0</v>
      </c>
      <c r="J25" s="44">
        <f t="shared" si="7"/>
        <v>0</v>
      </c>
      <c r="K25" s="44">
        <f t="shared" si="7"/>
        <v>0</v>
      </c>
      <c r="L25" s="44">
        <f t="shared" si="7"/>
        <v>0</v>
      </c>
      <c r="M25" s="44">
        <f t="shared" si="7"/>
        <v>3600</v>
      </c>
      <c r="N25" s="44">
        <f t="shared" si="7"/>
        <v>0</v>
      </c>
      <c r="O25" s="44">
        <f t="shared" si="7"/>
        <v>1320</v>
      </c>
      <c r="P25" s="44">
        <f t="shared" si="7"/>
        <v>840</v>
      </c>
      <c r="Q25" s="44">
        <f t="shared" si="7"/>
        <v>3600</v>
      </c>
      <c r="R25" s="44">
        <f t="shared" si="7"/>
        <v>0</v>
      </c>
      <c r="S25" s="44">
        <f t="shared" si="7"/>
        <v>0</v>
      </c>
      <c r="T25" s="44">
        <f t="shared" si="7"/>
        <v>0</v>
      </c>
      <c r="U25" s="44">
        <f t="shared" si="7"/>
        <v>5760</v>
      </c>
      <c r="V25" s="44">
        <f t="shared" si="7"/>
        <v>-2160</v>
      </c>
      <c r="W25" s="23"/>
      <c r="X25" s="23"/>
    </row>
    <row r="26" spans="1:30" ht="27.75" customHeight="1" thickTop="1">
      <c r="A26" s="23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45"/>
      <c r="W26" s="23"/>
      <c r="X26" s="23"/>
    </row>
    <row r="27" spans="1:30">
      <c r="B27" s="586" t="s">
        <v>73</v>
      </c>
      <c r="C27" s="586"/>
      <c r="D27" s="586"/>
      <c r="E27" s="586"/>
      <c r="F27" s="586"/>
      <c r="G27" s="586"/>
      <c r="H27" s="586"/>
      <c r="I27" s="65"/>
      <c r="J27" s="65"/>
      <c r="K27" s="65"/>
      <c r="L27" s="65"/>
      <c r="M27" s="66"/>
      <c r="N27" s="586" t="s">
        <v>21</v>
      </c>
      <c r="O27" s="586"/>
      <c r="P27" s="586"/>
      <c r="Q27" s="586"/>
      <c r="R27" s="586"/>
      <c r="S27" s="586"/>
      <c r="T27" s="586"/>
      <c r="U27" s="586"/>
      <c r="V27" s="46"/>
    </row>
    <row r="28" spans="1:30" ht="18.75" customHeight="1">
      <c r="B28" s="579" t="s">
        <v>280</v>
      </c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62"/>
    </row>
  </sheetData>
  <sheetProtection password="8541" sheet="1" objects="1" scenarios="1"/>
  <mergeCells count="23">
    <mergeCell ref="X6:Y6"/>
    <mergeCell ref="X19:AB19"/>
    <mergeCell ref="S4:U4"/>
    <mergeCell ref="B28:U28"/>
    <mergeCell ref="X20:AB20"/>
    <mergeCell ref="Z6:AA6"/>
    <mergeCell ref="V5:V6"/>
    <mergeCell ref="B4:C4"/>
    <mergeCell ref="D4:G4"/>
    <mergeCell ref="H4:I4"/>
    <mergeCell ref="J4:O4"/>
    <mergeCell ref="B27:H27"/>
    <mergeCell ref="N27:U27"/>
    <mergeCell ref="P4:R4"/>
    <mergeCell ref="B5:M5"/>
    <mergeCell ref="N5:U5"/>
    <mergeCell ref="B2:U2"/>
    <mergeCell ref="B3:C3"/>
    <mergeCell ref="D3:G3"/>
    <mergeCell ref="H3:I3"/>
    <mergeCell ref="J3:O3"/>
    <mergeCell ref="P3:R3"/>
    <mergeCell ref="S3:U3"/>
  </mergeCells>
  <pageMargins left="0.51181102362204722" right="0.39370078740157483" top="0.59055118110236227" bottom="0.59055118110236227" header="0.39370078740157483" footer="0.39370078740157483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47"/>
  <sheetViews>
    <sheetView showGridLines="0" view="pageBreakPreview" zoomScaleSheetLayoutView="100" workbookViewId="0">
      <selection activeCell="K4" sqref="K4:K6"/>
    </sheetView>
  </sheetViews>
  <sheetFormatPr defaultColWidth="9.140625" defaultRowHeight="15"/>
  <cols>
    <col min="1" max="1" width="1.7109375" style="47" customWidth="1"/>
    <col min="2" max="2" width="6.140625" style="61" customWidth="1"/>
    <col min="3" max="3" width="5" style="47" customWidth="1"/>
    <col min="4" max="4" width="4" style="47" customWidth="1"/>
    <col min="5" max="5" width="38.5703125" style="47" customWidth="1"/>
    <col min="6" max="6" width="7.42578125" style="47" customWidth="1"/>
    <col min="7" max="7" width="10.28515625" style="47" customWidth="1"/>
    <col min="8" max="9" width="12.28515625" style="47" customWidth="1"/>
    <col min="10" max="10" width="9.140625" style="47"/>
    <col min="11" max="12" width="16.7109375" style="47" customWidth="1"/>
    <col min="13" max="16384" width="9.140625" style="47"/>
  </cols>
  <sheetData>
    <row r="1" spans="1:19" ht="10.5" customHeight="1" thickBot="1">
      <c r="A1" s="514"/>
      <c r="B1" s="514"/>
      <c r="C1" s="514"/>
      <c r="D1" s="514"/>
      <c r="E1" s="514"/>
      <c r="F1" s="514"/>
      <c r="G1" s="514"/>
      <c r="H1" s="514"/>
      <c r="I1" s="514"/>
    </row>
    <row r="2" spans="1:19" ht="19.5" customHeight="1" thickTop="1">
      <c r="A2" s="514"/>
      <c r="B2" s="515" t="s">
        <v>314</v>
      </c>
      <c r="C2" s="516"/>
      <c r="D2" s="516"/>
      <c r="E2" s="516"/>
      <c r="F2" s="516"/>
      <c r="G2" s="516"/>
      <c r="H2" s="516"/>
      <c r="I2" s="517"/>
      <c r="J2" s="48"/>
      <c r="O2" s="48"/>
      <c r="P2" s="48"/>
      <c r="Q2" s="48"/>
      <c r="R2" s="48"/>
      <c r="S2" s="48"/>
    </row>
    <row r="3" spans="1:19" ht="21" customHeight="1" thickBot="1">
      <c r="A3" s="514"/>
      <c r="B3" s="597" t="s">
        <v>223</v>
      </c>
      <c r="C3" s="598"/>
      <c r="D3" s="598"/>
      <c r="E3" s="598"/>
      <c r="F3" s="598"/>
      <c r="G3" s="598"/>
      <c r="H3" s="598"/>
      <c r="I3" s="599"/>
      <c r="J3" s="48"/>
      <c r="O3" s="48"/>
      <c r="P3" s="48"/>
      <c r="Q3" s="48"/>
      <c r="R3" s="48"/>
      <c r="S3" s="48"/>
    </row>
    <row r="4" spans="1:19" ht="16.5" customHeight="1" thickTop="1" thickBot="1">
      <c r="A4" s="514"/>
      <c r="B4" s="521" t="s">
        <v>13</v>
      </c>
      <c r="C4" s="522"/>
      <c r="D4" s="522"/>
      <c r="E4" s="294">
        <f>(MASTER!E8)</f>
        <v>0</v>
      </c>
      <c r="F4" s="294"/>
      <c r="G4" s="9" t="s">
        <v>63</v>
      </c>
      <c r="H4" s="571">
        <f>(MASTER!E12)</f>
        <v>0</v>
      </c>
      <c r="I4" s="600"/>
      <c r="J4" s="48"/>
      <c r="K4" s="560" t="s">
        <v>169</v>
      </c>
      <c r="L4" s="560" t="s">
        <v>103</v>
      </c>
      <c r="M4" s="48"/>
      <c r="N4" s="48"/>
      <c r="O4" s="48"/>
      <c r="P4" s="48"/>
      <c r="Q4" s="48"/>
      <c r="R4" s="48"/>
      <c r="S4" s="48"/>
    </row>
    <row r="5" spans="1:19" ht="16.5" customHeight="1" thickTop="1" thickBot="1">
      <c r="A5" s="514"/>
      <c r="B5" s="523" t="s">
        <v>17</v>
      </c>
      <c r="C5" s="524"/>
      <c r="D5" s="524"/>
      <c r="E5" s="295">
        <f>(MASTER!E9)</f>
        <v>0</v>
      </c>
      <c r="F5" s="295"/>
      <c r="G5" s="3" t="s">
        <v>15</v>
      </c>
      <c r="H5" s="605">
        <f>(MASTER!E13)</f>
        <v>0</v>
      </c>
      <c r="I5" s="606"/>
      <c r="J5" s="48"/>
      <c r="K5" s="560"/>
      <c r="L5" s="560"/>
      <c r="M5" s="48"/>
      <c r="N5" s="48"/>
      <c r="O5" s="48"/>
      <c r="P5" s="48"/>
      <c r="Q5" s="48"/>
      <c r="R5" s="48"/>
      <c r="S5" s="48"/>
    </row>
    <row r="6" spans="1:19" ht="16.5" customHeight="1" thickTop="1" thickBot="1">
      <c r="A6" s="514"/>
      <c r="B6" s="523" t="s">
        <v>14</v>
      </c>
      <c r="C6" s="524"/>
      <c r="D6" s="524"/>
      <c r="E6" s="4">
        <f>(MASTER!E10)</f>
        <v>0</v>
      </c>
      <c r="F6" s="4"/>
      <c r="G6" s="3" t="s">
        <v>12</v>
      </c>
      <c r="H6" s="605">
        <f>(MASTER!E14)</f>
        <v>0</v>
      </c>
      <c r="I6" s="606"/>
      <c r="J6" s="48"/>
      <c r="K6" s="560"/>
      <c r="L6" s="560"/>
      <c r="M6" s="48"/>
      <c r="N6" s="48"/>
      <c r="O6" s="48"/>
      <c r="P6" s="48"/>
      <c r="Q6" s="48"/>
      <c r="R6" s="48"/>
      <c r="S6" s="48"/>
    </row>
    <row r="7" spans="1:19" ht="16.5" customHeight="1" thickTop="1" thickBot="1">
      <c r="A7" s="514"/>
      <c r="B7" s="525" t="s">
        <v>16</v>
      </c>
      <c r="C7" s="526"/>
      <c r="D7" s="526"/>
      <c r="E7" s="2">
        <f>(MASTER!E11)</f>
        <v>0</v>
      </c>
      <c r="F7" s="2"/>
      <c r="G7" s="15" t="s">
        <v>69</v>
      </c>
      <c r="H7" s="566">
        <f>(MASTER!E15)</f>
        <v>0</v>
      </c>
      <c r="I7" s="567"/>
      <c r="J7" s="48"/>
      <c r="K7" s="561">
        <f>SUM('OLD P2'!I31)</f>
        <v>0</v>
      </c>
      <c r="L7" s="561">
        <f>SUM('NEW P1'!I32)</f>
        <v>0</v>
      </c>
      <c r="M7" s="48"/>
      <c r="N7" s="48"/>
      <c r="O7" s="48"/>
      <c r="P7" s="48"/>
      <c r="Q7" s="48"/>
      <c r="R7" s="48"/>
      <c r="S7" s="48"/>
    </row>
    <row r="8" spans="1:19" ht="33" customHeight="1" thickTop="1" thickBot="1">
      <c r="A8" s="514"/>
      <c r="B8" s="601" t="s">
        <v>20</v>
      </c>
      <c r="C8" s="602"/>
      <c r="D8" s="602"/>
      <c r="E8" s="602"/>
      <c r="F8" s="602"/>
      <c r="G8" s="602"/>
      <c r="H8" s="137" t="s">
        <v>19</v>
      </c>
      <c r="I8" s="138" t="s">
        <v>19</v>
      </c>
      <c r="J8" s="48"/>
      <c r="K8" s="561"/>
      <c r="L8" s="561"/>
      <c r="M8" s="48"/>
      <c r="N8" s="48"/>
      <c r="O8" s="48"/>
      <c r="P8" s="48"/>
      <c r="Q8" s="48"/>
      <c r="R8" s="48"/>
      <c r="S8" s="48"/>
    </row>
    <row r="9" spans="1:19" s="50" customFormat="1" ht="18" customHeight="1" thickTop="1">
      <c r="A9" s="514"/>
      <c r="B9" s="167">
        <v>1</v>
      </c>
      <c r="C9" s="529" t="s">
        <v>45</v>
      </c>
      <c r="D9" s="530"/>
      <c r="E9" s="530"/>
      <c r="F9" s="530"/>
      <c r="G9" s="531"/>
      <c r="H9" s="139" t="s">
        <v>7</v>
      </c>
      <c r="I9" s="140">
        <f>SUM('OLD P4'!M25)</f>
        <v>3600</v>
      </c>
      <c r="J9" s="49"/>
      <c r="M9" s="49"/>
      <c r="N9" s="49"/>
      <c r="O9" s="49"/>
      <c r="P9" s="49"/>
      <c r="Q9" s="49"/>
      <c r="R9" s="49"/>
      <c r="S9" s="49"/>
    </row>
    <row r="10" spans="1:19" s="52" customFormat="1" ht="18" customHeight="1">
      <c r="A10" s="514"/>
      <c r="B10" s="5">
        <v>2</v>
      </c>
      <c r="C10" s="603" t="s">
        <v>170</v>
      </c>
      <c r="D10" s="604"/>
      <c r="E10" s="539" t="s">
        <v>171</v>
      </c>
      <c r="F10" s="539"/>
      <c r="G10" s="540"/>
      <c r="H10" s="141"/>
      <c r="I10" s="142" t="s">
        <v>7</v>
      </c>
      <c r="J10" s="51"/>
      <c r="O10" s="51"/>
      <c r="P10" s="51"/>
      <c r="Q10" s="51"/>
      <c r="R10" s="51"/>
      <c r="S10" s="51"/>
    </row>
    <row r="11" spans="1:19" s="52" customFormat="1" ht="18" customHeight="1">
      <c r="A11" s="514"/>
      <c r="B11" s="300"/>
      <c r="C11" s="267" t="s">
        <v>283</v>
      </c>
      <c r="D11" s="594" t="s">
        <v>215</v>
      </c>
      <c r="E11" s="595"/>
      <c r="F11" s="595"/>
      <c r="G11" s="596"/>
      <c r="H11" s="141"/>
      <c r="I11" s="142"/>
      <c r="J11" s="51"/>
      <c r="O11" s="51"/>
      <c r="P11" s="51"/>
      <c r="Q11" s="51"/>
      <c r="R11" s="51"/>
      <c r="S11" s="51"/>
    </row>
    <row r="12" spans="1:19" s="52" customFormat="1" ht="18" customHeight="1">
      <c r="A12" s="514"/>
      <c r="B12" s="300"/>
      <c r="C12" s="268"/>
      <c r="D12" s="251" t="s">
        <v>307</v>
      </c>
      <c r="E12" s="245" t="s">
        <v>332</v>
      </c>
      <c r="F12" s="246">
        <f>(MASTER!G44)</f>
        <v>10000</v>
      </c>
      <c r="G12" s="278">
        <f>SUM(F12*12)</f>
        <v>120000</v>
      </c>
      <c r="H12" s="141"/>
      <c r="I12" s="142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3" spans="1:19" s="52" customFormat="1" ht="18" customHeight="1">
      <c r="A13" s="514"/>
      <c r="B13" s="300"/>
      <c r="C13" s="268"/>
      <c r="D13" s="251" t="s">
        <v>306</v>
      </c>
      <c r="E13" s="590" t="s">
        <v>294</v>
      </c>
      <c r="F13" s="549"/>
      <c r="G13" s="278">
        <f>ROUND(SUM('OLD P4'!C25,'OLD P4'!E25)*0.1,0)</f>
        <v>0</v>
      </c>
      <c r="H13" s="141"/>
      <c r="I13" s="142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s="52" customFormat="1" ht="18" customHeight="1">
      <c r="A14" s="514"/>
      <c r="B14" s="300"/>
      <c r="C14" s="268"/>
      <c r="D14" s="251" t="s">
        <v>305</v>
      </c>
      <c r="E14" s="590" t="s">
        <v>295</v>
      </c>
      <c r="F14" s="550"/>
      <c r="G14" s="278">
        <f>IF(G12&lt;G13,0,SUM(G12-G13))</f>
        <v>120000</v>
      </c>
      <c r="H14" s="141"/>
      <c r="I14" s="142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s="52" customFormat="1" ht="18" customHeight="1">
      <c r="A15" s="514"/>
      <c r="B15" s="300"/>
      <c r="C15" s="268"/>
      <c r="D15" s="251" t="s">
        <v>300</v>
      </c>
      <c r="E15" s="590" t="s">
        <v>296</v>
      </c>
      <c r="F15" s="549"/>
      <c r="G15" s="278">
        <f>SUM('OLD P4'!F25)</f>
        <v>0</v>
      </c>
      <c r="H15" s="141"/>
      <c r="I15" s="142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s="52" customFormat="1" ht="18" customHeight="1">
      <c r="A16" s="514"/>
      <c r="B16" s="300"/>
      <c r="C16" s="268"/>
      <c r="D16" s="251" t="s">
        <v>308</v>
      </c>
      <c r="E16" s="590" t="s">
        <v>379</v>
      </c>
      <c r="F16" s="549"/>
      <c r="G16" s="278">
        <f>IF(MASTER!G42=40,ROUND(SUM('OLD P4'!C25,'OLD P4'!E25)*0.4,0),IF(MASTER!G42=50,ROUND(SUM('OLD P4'!C25,'OLD P4'!E25)*0.5,0),""))</f>
        <v>0</v>
      </c>
      <c r="H16" s="141"/>
      <c r="I16" s="142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s="52" customFormat="1" ht="18" customHeight="1">
      <c r="A17" s="514"/>
      <c r="B17" s="300"/>
      <c r="C17" s="269"/>
      <c r="D17" s="592" t="s">
        <v>342</v>
      </c>
      <c r="E17" s="592"/>
      <c r="F17" s="592"/>
      <c r="G17" s="592"/>
      <c r="H17" s="143">
        <f>IF(MASTER!G43=2,0,MIN(G14:G16))</f>
        <v>0</v>
      </c>
      <c r="I17" s="142"/>
      <c r="J17" s="51"/>
      <c r="K17" s="305"/>
      <c r="L17" s="305"/>
      <c r="M17" s="305"/>
      <c r="N17" s="305"/>
      <c r="O17" s="51"/>
      <c r="P17" s="51"/>
      <c r="Q17" s="51"/>
      <c r="R17" s="51"/>
      <c r="S17" s="51"/>
    </row>
    <row r="18" spans="1:19" s="52" customFormat="1" ht="18" customHeight="1">
      <c r="A18" s="514"/>
      <c r="B18" s="300"/>
      <c r="C18" s="270" t="s">
        <v>284</v>
      </c>
      <c r="D18" s="591" t="s">
        <v>172</v>
      </c>
      <c r="E18" s="591"/>
      <c r="F18" s="591"/>
      <c r="G18" s="591"/>
      <c r="H18" s="141">
        <f>IF(I9&lt;50000,I9,50000)</f>
        <v>3600</v>
      </c>
      <c r="I18" s="142"/>
      <c r="J18" s="51"/>
      <c r="K18" s="305"/>
      <c r="L18" s="305"/>
      <c r="M18" s="305"/>
      <c r="N18" s="305"/>
      <c r="O18" s="51"/>
      <c r="P18" s="51"/>
      <c r="Q18" s="51"/>
      <c r="R18" s="51"/>
      <c r="S18" s="51"/>
    </row>
    <row r="19" spans="1:19" s="52" customFormat="1" ht="18" customHeight="1">
      <c r="A19" s="514"/>
      <c r="B19" s="300"/>
      <c r="C19" s="271" t="s">
        <v>285</v>
      </c>
      <c r="D19" s="592" t="s">
        <v>173</v>
      </c>
      <c r="E19" s="592"/>
      <c r="F19" s="592"/>
      <c r="G19" s="592"/>
      <c r="H19" s="141">
        <f>SUM(MASTER!G45)</f>
        <v>2500</v>
      </c>
      <c r="I19" s="142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19" s="52" customFormat="1" ht="18" customHeight="1">
      <c r="A20" s="514"/>
      <c r="B20" s="300"/>
      <c r="C20" s="260" t="s">
        <v>286</v>
      </c>
      <c r="D20" s="592" t="s">
        <v>174</v>
      </c>
      <c r="E20" s="592"/>
      <c r="F20" s="592"/>
      <c r="G20" s="592"/>
      <c r="H20" s="143">
        <f>SUM('OLD P4'!K25)</f>
        <v>0</v>
      </c>
      <c r="I20" s="142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s="52" customFormat="1" ht="18" customHeight="1">
      <c r="A21" s="514"/>
      <c r="B21" s="300"/>
      <c r="C21" s="270" t="s">
        <v>287</v>
      </c>
      <c r="D21" s="592" t="s">
        <v>175</v>
      </c>
      <c r="E21" s="592"/>
      <c r="F21" s="592"/>
      <c r="G21" s="592"/>
      <c r="H21" s="143">
        <f>SUM(MASTER!G48)</f>
        <v>0</v>
      </c>
      <c r="I21" s="237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s="52" customFormat="1" ht="27" customHeight="1">
      <c r="A22" s="514"/>
      <c r="B22" s="300"/>
      <c r="C22" s="329" t="s">
        <v>288</v>
      </c>
      <c r="D22" s="593" t="s">
        <v>360</v>
      </c>
      <c r="E22" s="541"/>
      <c r="F22" s="541"/>
      <c r="G22" s="548"/>
      <c r="H22" s="327"/>
      <c r="I22" s="328"/>
      <c r="J22" s="51"/>
      <c r="K22" s="510" t="s">
        <v>343</v>
      </c>
      <c r="L22" s="510"/>
      <c r="M22" s="510"/>
      <c r="N22" s="510"/>
      <c r="O22" s="51"/>
      <c r="P22" s="51"/>
      <c r="Q22" s="51"/>
      <c r="R22" s="51"/>
      <c r="S22" s="51"/>
    </row>
    <row r="23" spans="1:19" s="52" customFormat="1" ht="18.75" customHeight="1">
      <c r="A23" s="514"/>
      <c r="B23" s="202"/>
      <c r="C23" s="266" t="s">
        <v>289</v>
      </c>
      <c r="D23" s="622" t="s">
        <v>361</v>
      </c>
      <c r="E23" s="623"/>
      <c r="F23" s="623"/>
      <c r="G23" s="624"/>
      <c r="H23" s="322"/>
      <c r="I23" s="142"/>
      <c r="J23" s="53"/>
      <c r="K23" s="510"/>
      <c r="L23" s="510"/>
      <c r="M23" s="510"/>
      <c r="N23" s="510"/>
      <c r="O23" s="51"/>
      <c r="P23" s="51"/>
      <c r="Q23" s="51"/>
      <c r="R23" s="51"/>
      <c r="S23" s="51"/>
    </row>
    <row r="24" spans="1:19" s="52" customFormat="1" ht="18" customHeight="1">
      <c r="A24" s="514"/>
      <c r="B24" s="5">
        <v>3</v>
      </c>
      <c r="C24" s="536" t="s">
        <v>176</v>
      </c>
      <c r="D24" s="537"/>
      <c r="E24" s="537"/>
      <c r="F24" s="537"/>
      <c r="G24" s="538"/>
      <c r="H24" s="141" t="s">
        <v>7</v>
      </c>
      <c r="I24" s="140">
        <f>IF(SUM(H17:H23)&gt;I9,0,SUM(I9-SUM(H17:H23)))</f>
        <v>0</v>
      </c>
      <c r="J24" s="55"/>
      <c r="K24" s="51"/>
      <c r="L24" s="51"/>
      <c r="M24" s="51"/>
      <c r="N24" s="51"/>
      <c r="O24" s="51"/>
      <c r="P24" s="51"/>
      <c r="Q24" s="51"/>
      <c r="R24" s="51"/>
      <c r="S24" s="51"/>
    </row>
    <row r="25" spans="1:19" s="52" customFormat="1" ht="18" customHeight="1">
      <c r="A25" s="514"/>
      <c r="B25" s="5">
        <v>4</v>
      </c>
      <c r="C25" s="604" t="s">
        <v>177</v>
      </c>
      <c r="D25" s="604"/>
      <c r="E25" s="539" t="s">
        <v>216</v>
      </c>
      <c r="F25" s="539"/>
      <c r="G25" s="540"/>
      <c r="H25" s="141" t="s">
        <v>7</v>
      </c>
      <c r="I25" s="238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s="52" customFormat="1" ht="18" customHeight="1">
      <c r="A26" s="514"/>
      <c r="B26" s="297"/>
      <c r="C26" s="265" t="s">
        <v>283</v>
      </c>
      <c r="D26" s="591" t="s">
        <v>178</v>
      </c>
      <c r="E26" s="591"/>
      <c r="F26" s="591"/>
      <c r="G26" s="591"/>
      <c r="H26" s="141"/>
      <c r="I26" s="323"/>
      <c r="J26" s="51"/>
      <c r="K26" s="510" t="s">
        <v>339</v>
      </c>
      <c r="L26" s="510"/>
      <c r="M26" s="510"/>
      <c r="N26" s="510"/>
      <c r="O26" s="51"/>
      <c r="P26" s="51"/>
      <c r="Q26" s="51"/>
      <c r="R26" s="51"/>
      <c r="S26" s="51"/>
    </row>
    <row r="27" spans="1:19" s="52" customFormat="1" ht="18" customHeight="1">
      <c r="A27" s="514"/>
      <c r="B27" s="613"/>
      <c r="C27" s="266" t="s">
        <v>284</v>
      </c>
      <c r="D27" s="592" t="s">
        <v>179</v>
      </c>
      <c r="E27" s="592"/>
      <c r="F27" s="592"/>
      <c r="G27" s="592"/>
      <c r="H27" s="141" t="s">
        <v>7</v>
      </c>
      <c r="I27" s="323"/>
      <c r="J27" s="56"/>
      <c r="K27" s="510"/>
      <c r="L27" s="510"/>
      <c r="M27" s="510"/>
      <c r="N27" s="510"/>
      <c r="O27" s="51"/>
      <c r="P27" s="51"/>
      <c r="Q27" s="51"/>
      <c r="R27" s="51"/>
      <c r="S27" s="51"/>
    </row>
    <row r="28" spans="1:19" s="52" customFormat="1" ht="18" customHeight="1">
      <c r="A28" s="514"/>
      <c r="B28" s="614"/>
      <c r="C28" s="266" t="s">
        <v>285</v>
      </c>
      <c r="D28" s="592" t="s">
        <v>297</v>
      </c>
      <c r="E28" s="592"/>
      <c r="F28" s="592"/>
      <c r="G28" s="592"/>
      <c r="H28" s="141"/>
      <c r="I28" s="323"/>
      <c r="J28" s="56"/>
      <c r="K28" s="56"/>
      <c r="L28" s="51"/>
      <c r="M28" s="51"/>
      <c r="N28" s="51"/>
      <c r="O28" s="51"/>
      <c r="P28" s="51"/>
      <c r="Q28" s="51"/>
      <c r="R28" s="51"/>
      <c r="S28" s="51"/>
    </row>
    <row r="29" spans="1:19" s="52" customFormat="1" ht="18" customHeight="1" thickBot="1">
      <c r="A29" s="514"/>
      <c r="B29" s="5">
        <v>5</v>
      </c>
      <c r="C29" s="536" t="s">
        <v>180</v>
      </c>
      <c r="D29" s="537"/>
      <c r="E29" s="537"/>
      <c r="F29" s="537"/>
      <c r="G29" s="538"/>
      <c r="H29" s="141"/>
      <c r="I29" s="239">
        <f>SUM(I24,I26:I28)</f>
        <v>0</v>
      </c>
      <c r="J29" s="56"/>
      <c r="K29" s="56"/>
      <c r="L29" s="51"/>
      <c r="M29" s="51"/>
      <c r="N29" s="51"/>
      <c r="O29" s="51"/>
      <c r="P29" s="51"/>
      <c r="Q29" s="51"/>
      <c r="R29" s="51"/>
      <c r="S29" s="51"/>
    </row>
    <row r="30" spans="1:19" s="52" customFormat="1" ht="18" customHeight="1" thickTop="1">
      <c r="A30" s="514"/>
      <c r="B30" s="182">
        <v>6</v>
      </c>
      <c r="C30" s="620" t="s">
        <v>170</v>
      </c>
      <c r="D30" s="621"/>
      <c r="E30" s="530" t="s">
        <v>354</v>
      </c>
      <c r="F30" s="530"/>
      <c r="G30" s="531"/>
      <c r="H30" s="139"/>
      <c r="I30" s="276"/>
      <c r="J30" s="56"/>
      <c r="K30" s="56"/>
      <c r="L30" s="51"/>
      <c r="M30" s="51"/>
      <c r="N30" s="51"/>
      <c r="O30" s="51"/>
      <c r="P30" s="51"/>
      <c r="Q30" s="51"/>
      <c r="R30" s="51"/>
      <c r="S30" s="51"/>
    </row>
    <row r="31" spans="1:19" s="52" customFormat="1" ht="18" customHeight="1">
      <c r="A31" s="514"/>
      <c r="B31" s="252"/>
      <c r="C31" s="259" t="s">
        <v>184</v>
      </c>
      <c r="D31" s="590" t="s">
        <v>298</v>
      </c>
      <c r="E31" s="549"/>
      <c r="F31" s="549"/>
      <c r="G31" s="550"/>
      <c r="H31" s="141"/>
      <c r="I31" s="239"/>
      <c r="J31" s="56"/>
      <c r="K31" s="56"/>
      <c r="L31" s="51"/>
      <c r="M31" s="51"/>
      <c r="N31" s="51"/>
      <c r="O31" s="51"/>
      <c r="P31" s="51"/>
      <c r="Q31" s="51"/>
      <c r="R31" s="51"/>
      <c r="S31" s="51"/>
    </row>
    <row r="32" spans="1:19" s="52" customFormat="1" ht="18" customHeight="1">
      <c r="A32" s="514"/>
      <c r="B32" s="248"/>
      <c r="C32" s="260"/>
      <c r="D32" s="277" t="s">
        <v>307</v>
      </c>
      <c r="E32" s="590" t="s">
        <v>182</v>
      </c>
      <c r="F32" s="549"/>
      <c r="G32" s="550"/>
      <c r="H32" s="143">
        <f>SUM('OLD P4'!N25-H45)</f>
        <v>0</v>
      </c>
      <c r="I32" s="239"/>
      <c r="J32" s="56"/>
      <c r="K32" s="56"/>
      <c r="L32" s="51"/>
      <c r="M32" s="51"/>
      <c r="N32" s="51"/>
      <c r="O32" s="51"/>
      <c r="P32" s="51"/>
      <c r="Q32" s="51"/>
      <c r="R32" s="51"/>
      <c r="S32" s="51"/>
    </row>
    <row r="33" spans="1:19" s="52" customFormat="1" ht="18" customHeight="1">
      <c r="A33" s="514"/>
      <c r="B33" s="248"/>
      <c r="C33" s="261"/>
      <c r="D33" s="277" t="s">
        <v>306</v>
      </c>
      <c r="E33" s="590" t="s">
        <v>183</v>
      </c>
      <c r="F33" s="615"/>
      <c r="G33" s="616"/>
      <c r="H33" s="141">
        <f>SUM('OLD P4'!O25:P25)</f>
        <v>2160</v>
      </c>
      <c r="I33" s="239"/>
      <c r="J33" s="56"/>
      <c r="K33" s="56"/>
      <c r="L33" s="51"/>
      <c r="M33" s="51"/>
      <c r="N33" s="51"/>
      <c r="O33" s="51"/>
      <c r="P33" s="51"/>
      <c r="Q33" s="51"/>
      <c r="R33" s="51"/>
      <c r="S33" s="51"/>
    </row>
    <row r="34" spans="1:19" s="52" customFormat="1" ht="18" customHeight="1">
      <c r="A34" s="514"/>
      <c r="B34" s="248"/>
      <c r="C34" s="261"/>
      <c r="D34" s="277" t="s">
        <v>305</v>
      </c>
      <c r="E34" s="590" t="s">
        <v>327</v>
      </c>
      <c r="F34" s="549"/>
      <c r="G34" s="550"/>
      <c r="H34" s="141">
        <f>SUM('OLD P4'!S25)</f>
        <v>0</v>
      </c>
      <c r="I34" s="239"/>
      <c r="J34" s="56"/>
      <c r="K34" s="56"/>
      <c r="L34" s="51"/>
      <c r="M34" s="51"/>
      <c r="N34" s="51"/>
      <c r="O34" s="51"/>
      <c r="P34" s="51"/>
      <c r="Q34" s="51"/>
      <c r="R34" s="51"/>
      <c r="S34" s="51"/>
    </row>
    <row r="35" spans="1:19" s="52" customFormat="1" ht="18" customHeight="1">
      <c r="A35" s="514"/>
      <c r="B35" s="248"/>
      <c r="C35" s="261"/>
      <c r="D35" s="277" t="s">
        <v>299</v>
      </c>
      <c r="E35" s="590" t="s">
        <v>352</v>
      </c>
      <c r="F35" s="549"/>
      <c r="G35" s="550"/>
      <c r="H35" s="143">
        <f>SUM('OLD P3'!H9)</f>
        <v>0</v>
      </c>
      <c r="I35" s="239"/>
      <c r="J35" s="56"/>
      <c r="K35" s="56"/>
      <c r="L35" s="51"/>
      <c r="M35" s="51"/>
      <c r="N35" s="51"/>
      <c r="O35" s="51"/>
      <c r="P35" s="51"/>
      <c r="Q35" s="51"/>
      <c r="R35" s="51"/>
      <c r="S35" s="51"/>
    </row>
    <row r="36" spans="1:19" s="52" customFormat="1" ht="18" customHeight="1">
      <c r="A36" s="514"/>
      <c r="B36" s="248"/>
      <c r="C36" s="261"/>
      <c r="D36" s="277" t="s">
        <v>308</v>
      </c>
      <c r="E36" s="590" t="s">
        <v>208</v>
      </c>
      <c r="F36" s="549"/>
      <c r="G36" s="550"/>
      <c r="H36" s="143">
        <f>SUM(MASTER!G47)</f>
        <v>0</v>
      </c>
      <c r="I36" s="239"/>
      <c r="J36" s="56"/>
      <c r="K36" s="56"/>
      <c r="L36" s="51"/>
      <c r="M36" s="51"/>
      <c r="N36" s="51"/>
      <c r="O36" s="51"/>
      <c r="P36" s="51"/>
      <c r="Q36" s="51"/>
      <c r="R36" s="51"/>
      <c r="S36" s="51"/>
    </row>
    <row r="37" spans="1:19" s="52" customFormat="1" ht="18" customHeight="1">
      <c r="A37" s="514"/>
      <c r="B37" s="248"/>
      <c r="C37" s="261"/>
      <c r="D37" s="277" t="s">
        <v>309</v>
      </c>
      <c r="E37" s="590" t="s">
        <v>330</v>
      </c>
      <c r="F37" s="549"/>
      <c r="G37" s="550"/>
      <c r="H37" s="143">
        <f>SUM('OLD P3'!H20)</f>
        <v>0</v>
      </c>
      <c r="I37" s="239"/>
      <c r="J37" s="56"/>
      <c r="K37" s="56"/>
      <c r="L37" s="51"/>
      <c r="M37" s="51"/>
      <c r="N37" s="51"/>
      <c r="O37" s="51"/>
      <c r="P37" s="51"/>
      <c r="Q37" s="51"/>
      <c r="R37" s="51"/>
      <c r="S37" s="51"/>
    </row>
    <row r="38" spans="1:19" s="52" customFormat="1" ht="18" customHeight="1">
      <c r="A38" s="514"/>
      <c r="B38" s="248"/>
      <c r="C38" s="261"/>
      <c r="D38" s="277" t="s">
        <v>310</v>
      </c>
      <c r="E38" s="590" t="s">
        <v>328</v>
      </c>
      <c r="F38" s="549"/>
      <c r="G38" s="550"/>
      <c r="H38" s="143">
        <f>SUM(MASTER!G53)</f>
        <v>0</v>
      </c>
      <c r="I38" s="239"/>
      <c r="J38" s="56"/>
      <c r="K38" s="56"/>
      <c r="L38" s="51"/>
      <c r="M38" s="51"/>
      <c r="N38" s="51"/>
      <c r="O38" s="51"/>
      <c r="P38" s="51"/>
      <c r="Q38" s="51"/>
      <c r="R38" s="51"/>
      <c r="S38" s="51"/>
    </row>
    <row r="39" spans="1:19" s="52" customFormat="1" ht="18" customHeight="1">
      <c r="A39" s="514"/>
      <c r="B39" s="248"/>
      <c r="C39" s="261"/>
      <c r="D39" s="277" t="s">
        <v>311</v>
      </c>
      <c r="E39" s="592" t="s">
        <v>329</v>
      </c>
      <c r="F39" s="592"/>
      <c r="G39" s="592"/>
      <c r="H39" s="258">
        <f>SUM('OLD P3'!H15)</f>
        <v>0</v>
      </c>
      <c r="I39" s="239"/>
      <c r="J39" s="56"/>
      <c r="K39" s="56"/>
      <c r="L39" s="51"/>
      <c r="M39" s="51"/>
      <c r="N39" s="51"/>
      <c r="O39" s="51"/>
      <c r="P39" s="51"/>
      <c r="Q39" s="51"/>
      <c r="R39" s="51"/>
      <c r="S39" s="51"/>
    </row>
    <row r="40" spans="1:19" s="52" customFormat="1" ht="18" customHeight="1">
      <c r="A40" s="514"/>
      <c r="B40" s="248"/>
      <c r="C40" s="261"/>
      <c r="D40" s="277" t="s">
        <v>312</v>
      </c>
      <c r="E40" s="610" t="s">
        <v>362</v>
      </c>
      <c r="F40" s="611"/>
      <c r="G40" s="611"/>
      <c r="H40" s="324"/>
      <c r="I40" s="239"/>
      <c r="J40" s="56"/>
      <c r="K40" s="56"/>
      <c r="L40" s="51"/>
      <c r="M40" s="51"/>
      <c r="N40" s="51"/>
      <c r="O40" s="51"/>
      <c r="P40" s="51"/>
      <c r="Q40" s="51"/>
      <c r="R40" s="51"/>
      <c r="S40" s="51"/>
    </row>
    <row r="41" spans="1:19" s="52" customFormat="1" ht="18" customHeight="1">
      <c r="A41" s="514"/>
      <c r="B41" s="248"/>
      <c r="C41" s="262"/>
      <c r="D41" s="277" t="s">
        <v>313</v>
      </c>
      <c r="E41" s="610" t="s">
        <v>358</v>
      </c>
      <c r="F41" s="611"/>
      <c r="G41" s="611"/>
      <c r="H41" s="325"/>
      <c r="I41" s="239"/>
      <c r="J41" s="56"/>
      <c r="K41" s="510" t="s">
        <v>338</v>
      </c>
      <c r="L41" s="510"/>
      <c r="M41" s="510"/>
      <c r="N41" s="510"/>
      <c r="O41" s="51"/>
      <c r="P41" s="51"/>
      <c r="Q41" s="51"/>
      <c r="R41" s="51"/>
      <c r="S41" s="51"/>
    </row>
    <row r="42" spans="1:19" s="52" customFormat="1" ht="18" customHeight="1">
      <c r="A42" s="514"/>
      <c r="B42" s="298"/>
      <c r="C42" s="263" t="s">
        <v>284</v>
      </c>
      <c r="D42" s="610" t="s">
        <v>316</v>
      </c>
      <c r="E42" s="611"/>
      <c r="F42" s="611"/>
      <c r="G42" s="612"/>
      <c r="H42" s="325"/>
      <c r="I42" s="239"/>
      <c r="J42" s="56"/>
      <c r="K42" s="510"/>
      <c r="L42" s="510"/>
      <c r="M42" s="510"/>
      <c r="N42" s="510"/>
      <c r="O42" s="51"/>
      <c r="P42" s="51"/>
      <c r="Q42" s="51"/>
      <c r="R42" s="51"/>
      <c r="S42" s="51"/>
    </row>
    <row r="43" spans="1:19" s="52" customFormat="1" ht="18" customHeight="1">
      <c r="A43" s="514"/>
      <c r="B43" s="298"/>
      <c r="C43" s="264" t="s">
        <v>290</v>
      </c>
      <c r="D43" s="590" t="s">
        <v>359</v>
      </c>
      <c r="E43" s="549"/>
      <c r="F43" s="549"/>
      <c r="G43" s="550"/>
      <c r="H43" s="322"/>
      <c r="I43" s="239"/>
      <c r="J43" s="56"/>
      <c r="K43" s="56"/>
      <c r="L43" s="51"/>
      <c r="M43" s="51"/>
      <c r="N43" s="51"/>
      <c r="O43" s="51"/>
      <c r="P43" s="51"/>
      <c r="Q43" s="51"/>
      <c r="R43" s="51"/>
      <c r="S43" s="51"/>
    </row>
    <row r="44" spans="1:19" s="52" customFormat="1" ht="18" customHeight="1">
      <c r="A44" s="514"/>
      <c r="B44" s="6">
        <v>7</v>
      </c>
      <c r="C44" s="536" t="s">
        <v>353</v>
      </c>
      <c r="D44" s="537"/>
      <c r="E44" s="537"/>
      <c r="F44" s="537"/>
      <c r="G44" s="538"/>
      <c r="H44" s="141">
        <f>IF(SUM(H32:H43)&gt;150000,150000,(SUM(H32:H43)))</f>
        <v>2160</v>
      </c>
      <c r="I44" s="239"/>
      <c r="J44" s="56"/>
      <c r="K44" s="56"/>
      <c r="L44" s="51"/>
      <c r="M44" s="51"/>
      <c r="N44" s="51"/>
      <c r="O44" s="51"/>
      <c r="P44" s="51"/>
      <c r="Q44" s="51"/>
      <c r="R44" s="51"/>
      <c r="S44" s="51"/>
    </row>
    <row r="45" spans="1:19" s="52" customFormat="1" ht="30" customHeight="1">
      <c r="A45" s="514"/>
      <c r="B45" s="150">
        <v>8</v>
      </c>
      <c r="C45" s="511" t="s">
        <v>363</v>
      </c>
      <c r="D45" s="539"/>
      <c r="E45" s="539"/>
      <c r="F45" s="539"/>
      <c r="G45" s="540"/>
      <c r="H45" s="322"/>
      <c r="I45" s="239"/>
      <c r="J45" s="56"/>
      <c r="K45" s="510" t="s">
        <v>357</v>
      </c>
      <c r="L45" s="510"/>
      <c r="M45" s="510"/>
      <c r="N45" s="510"/>
      <c r="O45" s="51"/>
      <c r="P45" s="51"/>
      <c r="Q45" s="51"/>
      <c r="R45" s="51"/>
      <c r="S45" s="51"/>
    </row>
    <row r="46" spans="1:19" s="52" customFormat="1" ht="18" customHeight="1" thickBot="1">
      <c r="A46" s="514"/>
      <c r="B46" s="240">
        <v>9</v>
      </c>
      <c r="C46" s="617" t="s">
        <v>279</v>
      </c>
      <c r="D46" s="618"/>
      <c r="E46" s="618"/>
      <c r="F46" s="618"/>
      <c r="G46" s="619"/>
      <c r="H46" s="256"/>
      <c r="I46" s="257">
        <f>IF(SUM(H44+H45)&gt;I29,0,SUM(I29-(H44+H45)))</f>
        <v>0</v>
      </c>
      <c r="J46" s="56"/>
      <c r="K46" s="510"/>
      <c r="L46" s="510"/>
      <c r="M46" s="510"/>
      <c r="N46" s="510"/>
      <c r="O46" s="51"/>
      <c r="P46" s="51"/>
      <c r="Q46" s="51"/>
      <c r="R46" s="51"/>
      <c r="S46" s="51"/>
    </row>
    <row r="47" spans="1:19" ht="16.5" thickTop="1" thickBot="1">
      <c r="B47" s="607" t="s">
        <v>275</v>
      </c>
      <c r="C47" s="608"/>
      <c r="D47" s="608"/>
      <c r="E47" s="608"/>
      <c r="F47" s="608"/>
      <c r="G47" s="608"/>
      <c r="H47" s="608"/>
      <c r="I47" s="609"/>
    </row>
  </sheetData>
  <sheetProtection password="8541" sheet="1" objects="1" scenarios="1"/>
  <mergeCells count="63">
    <mergeCell ref="K41:N42"/>
    <mergeCell ref="C46:G46"/>
    <mergeCell ref="D17:G17"/>
    <mergeCell ref="C45:G45"/>
    <mergeCell ref="D31:G31"/>
    <mergeCell ref="E35:G35"/>
    <mergeCell ref="C30:D30"/>
    <mergeCell ref="E30:G30"/>
    <mergeCell ref="K45:N46"/>
    <mergeCell ref="D28:G28"/>
    <mergeCell ref="C25:D25"/>
    <mergeCell ref="E25:G25"/>
    <mergeCell ref="D23:G23"/>
    <mergeCell ref="K26:N27"/>
    <mergeCell ref="K22:N23"/>
    <mergeCell ref="B47:I47"/>
    <mergeCell ref="C29:G29"/>
    <mergeCell ref="C24:G24"/>
    <mergeCell ref="E41:G41"/>
    <mergeCell ref="D43:G43"/>
    <mergeCell ref="D42:G42"/>
    <mergeCell ref="E40:G40"/>
    <mergeCell ref="E34:G34"/>
    <mergeCell ref="E38:G38"/>
    <mergeCell ref="E39:G39"/>
    <mergeCell ref="B27:B28"/>
    <mergeCell ref="E36:G36"/>
    <mergeCell ref="E37:G37"/>
    <mergeCell ref="E32:G32"/>
    <mergeCell ref="E33:G33"/>
    <mergeCell ref="D26:G26"/>
    <mergeCell ref="A1:I1"/>
    <mergeCell ref="A2:A46"/>
    <mergeCell ref="B2:I2"/>
    <mergeCell ref="B3:I3"/>
    <mergeCell ref="B4:D4"/>
    <mergeCell ref="H4:I4"/>
    <mergeCell ref="B8:G8"/>
    <mergeCell ref="C9:G9"/>
    <mergeCell ref="C10:D10"/>
    <mergeCell ref="E10:G10"/>
    <mergeCell ref="B5:D5"/>
    <mergeCell ref="H5:I5"/>
    <mergeCell ref="B6:D6"/>
    <mergeCell ref="H6:I6"/>
    <mergeCell ref="B7:D7"/>
    <mergeCell ref="H7:I7"/>
    <mergeCell ref="K7:K8"/>
    <mergeCell ref="L7:L8"/>
    <mergeCell ref="K4:K6"/>
    <mergeCell ref="L4:L6"/>
    <mergeCell ref="C44:G44"/>
    <mergeCell ref="E13:F13"/>
    <mergeCell ref="E14:F14"/>
    <mergeCell ref="E15:F15"/>
    <mergeCell ref="E16:F16"/>
    <mergeCell ref="D18:G18"/>
    <mergeCell ref="D19:G19"/>
    <mergeCell ref="D20:G20"/>
    <mergeCell ref="D21:G21"/>
    <mergeCell ref="D22:G22"/>
    <mergeCell ref="D11:G11"/>
    <mergeCell ref="D27:G27"/>
  </mergeCells>
  <pageMargins left="0.59055118110236227" right="0.59055118110236227" top="0.59055118110236227" bottom="0.59055118110236227" header="0.39370078740157483" footer="0.39370078740157483"/>
  <pageSetup paperSize="9" scale="94" firstPageNumber="3" orientation="portrait" useFirstPageNumber="1" r:id="rId1"/>
  <ignoredErrors>
    <ignoredError sqref="H4:H7 L7 I29 H17 H3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S48"/>
  <sheetViews>
    <sheetView showGridLines="0" view="pageBreakPreview" zoomScaleSheetLayoutView="100" workbookViewId="0">
      <selection activeCell="K6" sqref="K6:N7"/>
    </sheetView>
  </sheetViews>
  <sheetFormatPr defaultColWidth="9.140625" defaultRowHeight="15"/>
  <cols>
    <col min="1" max="1" width="1.7109375" style="47" customWidth="1"/>
    <col min="2" max="2" width="6.140625" style="61" customWidth="1"/>
    <col min="3" max="3" width="5.140625" style="47" customWidth="1"/>
    <col min="4" max="4" width="4" style="47" customWidth="1"/>
    <col min="5" max="5" width="34.28515625" style="47" customWidth="1"/>
    <col min="6" max="6" width="10.85546875" style="47" customWidth="1"/>
    <col min="7" max="7" width="13.42578125" style="47" customWidth="1"/>
    <col min="8" max="8" width="12.28515625" style="47" customWidth="1"/>
    <col min="9" max="9" width="12.140625" style="47" customWidth="1"/>
    <col min="10" max="10" width="9.140625" style="47"/>
    <col min="11" max="12" width="16.7109375" style="47" customWidth="1"/>
    <col min="13" max="16384" width="9.140625" style="47"/>
  </cols>
  <sheetData>
    <row r="1" spans="1:19" ht="10.5" customHeight="1" thickBot="1">
      <c r="A1" s="514"/>
      <c r="B1" s="514"/>
      <c r="C1" s="514"/>
      <c r="D1" s="514"/>
      <c r="E1" s="514"/>
      <c r="F1" s="514"/>
      <c r="G1" s="514"/>
      <c r="H1" s="514"/>
      <c r="I1" s="514"/>
    </row>
    <row r="2" spans="1:19" s="52" customFormat="1" ht="18" customHeight="1" thickTop="1">
      <c r="A2" s="514"/>
      <c r="B2" s="254">
        <v>10</v>
      </c>
      <c r="C2" s="620" t="s">
        <v>170</v>
      </c>
      <c r="D2" s="621"/>
      <c r="E2" s="530" t="s">
        <v>335</v>
      </c>
      <c r="F2" s="530"/>
      <c r="G2" s="531"/>
      <c r="H2" s="139"/>
      <c r="I2" s="276">
        <f>SUM('OLD P1'!I46)</f>
        <v>0</v>
      </c>
      <c r="J2" s="56"/>
      <c r="O2" s="51"/>
      <c r="P2" s="51"/>
      <c r="Q2" s="51"/>
      <c r="R2" s="51"/>
      <c r="S2" s="51"/>
    </row>
    <row r="3" spans="1:19" s="52" customFormat="1" ht="18" customHeight="1">
      <c r="A3" s="514"/>
      <c r="B3" s="297"/>
      <c r="C3" s="304" t="s">
        <v>283</v>
      </c>
      <c r="D3" s="637" t="s">
        <v>291</v>
      </c>
      <c r="E3" s="625"/>
      <c r="F3" s="625"/>
      <c r="G3" s="626"/>
      <c r="H3" s="141"/>
      <c r="I3" s="238"/>
      <c r="J3" s="56"/>
      <c r="O3" s="51"/>
      <c r="P3" s="51"/>
      <c r="Q3" s="51"/>
      <c r="R3" s="51"/>
      <c r="S3" s="51"/>
    </row>
    <row r="4" spans="1:19" s="52" customFormat="1" ht="18" customHeight="1">
      <c r="A4" s="514"/>
      <c r="B4" s="248"/>
      <c r="C4" s="303"/>
      <c r="D4" s="273" t="s">
        <v>307</v>
      </c>
      <c r="E4" s="549" t="s">
        <v>331</v>
      </c>
      <c r="F4" s="549"/>
      <c r="G4" s="550"/>
      <c r="H4" s="141">
        <f>SUM('OLD P4'!Q25)</f>
        <v>3600</v>
      </c>
      <c r="I4" s="238"/>
      <c r="J4" s="56"/>
      <c r="K4" s="56"/>
      <c r="L4" s="51"/>
      <c r="M4" s="51"/>
      <c r="N4" s="51"/>
      <c r="O4" s="51"/>
      <c r="P4" s="51"/>
      <c r="Q4" s="51"/>
      <c r="R4" s="51"/>
      <c r="S4" s="51"/>
    </row>
    <row r="5" spans="1:19" s="52" customFormat="1" ht="18" customHeight="1">
      <c r="A5" s="514"/>
      <c r="B5" s="248"/>
      <c r="C5" s="302"/>
      <c r="D5" s="274"/>
      <c r="E5" s="590" t="s">
        <v>334</v>
      </c>
      <c r="F5" s="549"/>
      <c r="G5" s="550"/>
      <c r="H5" s="322">
        <f>SUM(MASTER!G50)</f>
        <v>0</v>
      </c>
      <c r="I5" s="238"/>
      <c r="J5" s="56"/>
      <c r="K5" s="56"/>
      <c r="L5" s="51"/>
      <c r="M5" s="51"/>
      <c r="N5" s="51"/>
      <c r="O5" s="51"/>
      <c r="P5" s="51"/>
      <c r="Q5" s="51"/>
      <c r="R5" s="51"/>
      <c r="S5" s="51"/>
    </row>
    <row r="6" spans="1:19" s="52" customFormat="1" ht="18" customHeight="1">
      <c r="A6" s="514"/>
      <c r="B6" s="248"/>
      <c r="C6" s="250"/>
      <c r="D6" s="274" t="s">
        <v>306</v>
      </c>
      <c r="E6" s="549" t="s">
        <v>293</v>
      </c>
      <c r="F6" s="549"/>
      <c r="G6" s="550"/>
      <c r="H6" s="325"/>
      <c r="I6" s="238"/>
      <c r="J6" s="56"/>
      <c r="K6" s="510" t="s">
        <v>338</v>
      </c>
      <c r="L6" s="510"/>
      <c r="M6" s="510"/>
      <c r="N6" s="510"/>
      <c r="O6" s="51"/>
      <c r="P6" s="51"/>
      <c r="Q6" s="51"/>
      <c r="R6" s="51"/>
      <c r="S6" s="51"/>
    </row>
    <row r="7" spans="1:19" s="52" customFormat="1" ht="18" customHeight="1">
      <c r="A7" s="514"/>
      <c r="B7" s="248"/>
      <c r="C7" s="250"/>
      <c r="D7" s="251" t="s">
        <v>305</v>
      </c>
      <c r="E7" s="625" t="s">
        <v>292</v>
      </c>
      <c r="F7" s="625"/>
      <c r="G7" s="626"/>
      <c r="H7" s="322"/>
      <c r="I7" s="238"/>
      <c r="J7" s="56"/>
      <c r="K7" s="510"/>
      <c r="L7" s="510"/>
      <c r="M7" s="510"/>
      <c r="N7" s="510"/>
      <c r="O7" s="51"/>
      <c r="P7" s="51"/>
      <c r="Q7" s="51"/>
      <c r="R7" s="51"/>
      <c r="S7" s="51"/>
    </row>
    <row r="8" spans="1:19" s="52" customFormat="1" ht="18" customHeight="1">
      <c r="A8" s="514"/>
      <c r="B8" s="248"/>
      <c r="C8" s="250"/>
      <c r="D8" s="251" t="s">
        <v>300</v>
      </c>
      <c r="E8" s="590" t="s">
        <v>315</v>
      </c>
      <c r="F8" s="549"/>
      <c r="G8" s="550"/>
      <c r="H8" s="322"/>
      <c r="I8" s="238"/>
      <c r="J8" s="56"/>
      <c r="K8" s="56"/>
      <c r="L8" s="51"/>
      <c r="M8" s="51"/>
      <c r="N8" s="51"/>
      <c r="O8" s="51"/>
      <c r="P8" s="51"/>
      <c r="Q8" s="51"/>
      <c r="R8" s="51"/>
      <c r="S8" s="51"/>
    </row>
    <row r="9" spans="1:19" s="52" customFormat="1" ht="18" customHeight="1">
      <c r="A9" s="514"/>
      <c r="B9" s="248"/>
      <c r="C9" s="250"/>
      <c r="D9" s="590" t="s">
        <v>321</v>
      </c>
      <c r="E9" s="549"/>
      <c r="F9" s="549"/>
      <c r="G9" s="550"/>
      <c r="H9" s="143">
        <f>IF(SUM(H4:H8)&gt;=50000,50000,SUM(H4:H8))</f>
        <v>3600</v>
      </c>
      <c r="I9" s="238"/>
      <c r="J9" s="56"/>
      <c r="K9" s="56"/>
      <c r="L9" s="51"/>
      <c r="M9" s="51"/>
      <c r="N9" s="51"/>
      <c r="O9" s="51"/>
      <c r="P9" s="51"/>
      <c r="Q9" s="51"/>
      <c r="R9" s="51"/>
      <c r="S9" s="51"/>
    </row>
    <row r="10" spans="1:19" s="52" customFormat="1" ht="18" customHeight="1">
      <c r="A10" s="514"/>
      <c r="B10" s="248"/>
      <c r="C10" s="280" t="s">
        <v>284</v>
      </c>
      <c r="D10" s="641" t="s">
        <v>333</v>
      </c>
      <c r="E10" s="641"/>
      <c r="F10" s="641"/>
      <c r="G10" s="641"/>
      <c r="H10" s="322"/>
      <c r="I10" s="238"/>
      <c r="J10" s="56"/>
      <c r="O10" s="51"/>
      <c r="P10" s="51"/>
      <c r="Q10" s="51"/>
      <c r="R10" s="51"/>
      <c r="S10" s="51"/>
    </row>
    <row r="11" spans="1:19" s="52" customFormat="1" ht="30" customHeight="1">
      <c r="A11" s="514"/>
      <c r="B11" s="248"/>
      <c r="C11" s="247" t="s">
        <v>290</v>
      </c>
      <c r="D11" s="593" t="s">
        <v>336</v>
      </c>
      <c r="E11" s="541"/>
      <c r="F11" s="541"/>
      <c r="G11" s="548"/>
      <c r="H11" s="322"/>
      <c r="I11" s="238"/>
      <c r="J11" s="56"/>
      <c r="O11" s="51"/>
      <c r="P11" s="51"/>
      <c r="Q11" s="51"/>
      <c r="R11" s="51"/>
      <c r="S11" s="51"/>
    </row>
    <row r="12" spans="1:19" s="52" customFormat="1" ht="18" customHeight="1">
      <c r="A12" s="514"/>
      <c r="B12" s="248"/>
      <c r="C12" s="281" t="s">
        <v>286</v>
      </c>
      <c r="D12" s="641" t="s">
        <v>322</v>
      </c>
      <c r="E12" s="641"/>
      <c r="F12" s="641"/>
      <c r="G12" s="641"/>
      <c r="H12" s="322"/>
      <c r="I12" s="238"/>
      <c r="J12" s="56"/>
      <c r="K12" s="56"/>
      <c r="L12" s="51"/>
      <c r="M12" s="51"/>
      <c r="N12" s="51"/>
      <c r="O12" s="51"/>
      <c r="P12" s="51"/>
      <c r="Q12" s="51"/>
      <c r="R12" s="51"/>
      <c r="S12" s="51"/>
    </row>
    <row r="13" spans="1:19" s="52" customFormat="1" ht="18" customHeight="1">
      <c r="A13" s="514"/>
      <c r="B13" s="248"/>
      <c r="C13" s="247" t="s">
        <v>287</v>
      </c>
      <c r="D13" s="610" t="s">
        <v>323</v>
      </c>
      <c r="E13" s="611"/>
      <c r="F13" s="611"/>
      <c r="G13" s="612"/>
      <c r="H13" s="322"/>
      <c r="I13" s="238"/>
      <c r="J13" s="56"/>
      <c r="K13" s="56"/>
      <c r="L13" s="51"/>
      <c r="M13" s="51"/>
      <c r="N13" s="51"/>
      <c r="O13" s="51"/>
      <c r="P13" s="51"/>
      <c r="Q13" s="51"/>
      <c r="R13" s="51"/>
      <c r="S13" s="51"/>
    </row>
    <row r="14" spans="1:19" s="52" customFormat="1" ht="18" customHeight="1">
      <c r="A14" s="514"/>
      <c r="B14" s="298"/>
      <c r="C14" s="249" t="s">
        <v>317</v>
      </c>
      <c r="D14" s="610" t="s">
        <v>326</v>
      </c>
      <c r="E14" s="611"/>
      <c r="F14" s="611"/>
      <c r="G14" s="612"/>
      <c r="H14" s="325"/>
      <c r="I14" s="238"/>
      <c r="J14" s="56"/>
      <c r="K14" s="56"/>
      <c r="L14" s="51"/>
      <c r="M14" s="51"/>
      <c r="N14" s="51"/>
      <c r="O14" s="51"/>
      <c r="P14" s="51"/>
      <c r="Q14" s="51"/>
      <c r="R14" s="51"/>
      <c r="S14" s="51"/>
    </row>
    <row r="15" spans="1:19" s="52" customFormat="1" ht="18" customHeight="1">
      <c r="A15" s="514"/>
      <c r="B15" s="298"/>
      <c r="C15" s="172" t="s">
        <v>289</v>
      </c>
      <c r="D15" s="593" t="s">
        <v>340</v>
      </c>
      <c r="E15" s="541"/>
      <c r="F15" s="541"/>
      <c r="G15" s="548"/>
      <c r="H15" s="143">
        <f>SUM(MASTER!G52)</f>
        <v>0</v>
      </c>
      <c r="I15" s="238"/>
      <c r="J15" s="56"/>
      <c r="K15" s="56"/>
      <c r="L15" s="51"/>
      <c r="M15" s="51"/>
      <c r="N15" s="51"/>
      <c r="O15" s="51"/>
      <c r="P15" s="51"/>
      <c r="Q15" s="51"/>
      <c r="R15" s="51"/>
      <c r="S15" s="51"/>
    </row>
    <row r="16" spans="1:19" s="52" customFormat="1" ht="18" customHeight="1">
      <c r="A16" s="514"/>
      <c r="B16" s="298"/>
      <c r="C16" s="243" t="s">
        <v>318</v>
      </c>
      <c r="D16" s="622" t="s">
        <v>324</v>
      </c>
      <c r="E16" s="623"/>
      <c r="F16" s="623"/>
      <c r="G16" s="624"/>
      <c r="H16" s="143">
        <f>IF('OLD P1'!I27&gt;10000,10000,IF('OLD P1'!I27&lt;=10000,'OLD P1'!I27,0))</f>
        <v>0</v>
      </c>
      <c r="I16" s="238"/>
      <c r="J16" s="56"/>
      <c r="K16" s="56"/>
      <c r="L16" s="51"/>
      <c r="M16" s="51"/>
      <c r="N16" s="51"/>
      <c r="O16" s="51"/>
      <c r="P16" s="51"/>
      <c r="Q16" s="51"/>
      <c r="R16" s="51"/>
      <c r="S16" s="51"/>
    </row>
    <row r="17" spans="1:19" s="52" customFormat="1" ht="18" customHeight="1">
      <c r="A17" s="514"/>
      <c r="B17" s="298"/>
      <c r="C17" s="243" t="s">
        <v>319</v>
      </c>
      <c r="D17" s="622" t="s">
        <v>325</v>
      </c>
      <c r="E17" s="623"/>
      <c r="F17" s="623"/>
      <c r="G17" s="624"/>
      <c r="H17" s="322"/>
      <c r="I17" s="238"/>
      <c r="J17" s="56"/>
      <c r="K17" s="56"/>
      <c r="L17" s="51"/>
      <c r="M17" s="51"/>
      <c r="N17" s="51"/>
      <c r="O17" s="51"/>
      <c r="P17" s="51"/>
      <c r="Q17" s="51"/>
      <c r="R17" s="51"/>
      <c r="S17" s="51"/>
    </row>
    <row r="18" spans="1:19" s="52" customFormat="1" ht="30" customHeight="1">
      <c r="A18" s="514"/>
      <c r="B18" s="298"/>
      <c r="C18" s="172" t="s">
        <v>320</v>
      </c>
      <c r="D18" s="593" t="s">
        <v>376</v>
      </c>
      <c r="E18" s="541"/>
      <c r="F18" s="541"/>
      <c r="G18" s="548"/>
      <c r="H18" s="143">
        <f>SUM(MASTER!G51)</f>
        <v>0</v>
      </c>
      <c r="I18" s="272"/>
      <c r="J18" s="56"/>
      <c r="K18" s="56"/>
      <c r="L18" s="51"/>
      <c r="M18" s="51"/>
      <c r="N18" s="51"/>
      <c r="O18" s="51"/>
      <c r="P18" s="51"/>
      <c r="Q18" s="51"/>
      <c r="R18" s="51"/>
      <c r="S18" s="51"/>
    </row>
    <row r="19" spans="1:19" s="52" customFormat="1" ht="18" customHeight="1">
      <c r="A19" s="514"/>
      <c r="B19" s="6">
        <v>11</v>
      </c>
      <c r="C19" s="536" t="s">
        <v>337</v>
      </c>
      <c r="D19" s="537"/>
      <c r="E19" s="537"/>
      <c r="F19" s="537"/>
      <c r="G19" s="538"/>
      <c r="H19" s="282">
        <f>SUM(H9:H18)</f>
        <v>3600</v>
      </c>
      <c r="I19" s="272"/>
      <c r="J19" s="56"/>
      <c r="K19" s="56"/>
      <c r="L19" s="51"/>
      <c r="M19" s="51"/>
      <c r="N19" s="51"/>
      <c r="O19" s="51"/>
      <c r="P19" s="51"/>
      <c r="Q19" s="51"/>
      <c r="R19" s="51"/>
      <c r="S19" s="51"/>
    </row>
    <row r="20" spans="1:19" s="52" customFormat="1" ht="18" customHeight="1" thickBot="1">
      <c r="A20" s="514"/>
      <c r="B20" s="286">
        <v>12</v>
      </c>
      <c r="C20" s="638" t="s">
        <v>181</v>
      </c>
      <c r="D20" s="639"/>
      <c r="E20" s="639"/>
      <c r="F20" s="639"/>
      <c r="G20" s="640"/>
      <c r="H20" s="145"/>
      <c r="I20" s="241">
        <f>IF(H19&gt;I2,0,SUM(I2-H19))</f>
        <v>0</v>
      </c>
      <c r="J20" s="56"/>
      <c r="K20" s="56"/>
      <c r="L20" s="51"/>
      <c r="M20" s="51"/>
      <c r="N20" s="51"/>
      <c r="O20" s="51"/>
      <c r="P20" s="51"/>
      <c r="Q20" s="51"/>
      <c r="R20" s="51"/>
      <c r="S20" s="51"/>
    </row>
    <row r="21" spans="1:19" s="50" customFormat="1" ht="18" customHeight="1" thickTop="1">
      <c r="A21" s="514"/>
      <c r="B21" s="7">
        <v>13</v>
      </c>
      <c r="C21" s="511" t="s">
        <v>185</v>
      </c>
      <c r="D21" s="539"/>
      <c r="E21" s="539"/>
      <c r="F21" s="539"/>
      <c r="G21" s="540"/>
      <c r="H21" s="253"/>
      <c r="I21" s="255">
        <f>ROUND(I20,-1)</f>
        <v>0</v>
      </c>
      <c r="J21" s="57"/>
      <c r="K21" s="57"/>
      <c r="L21" s="57"/>
      <c r="M21" s="49"/>
      <c r="N21" s="49"/>
      <c r="O21" s="49"/>
      <c r="P21" s="49"/>
      <c r="Q21" s="49"/>
      <c r="R21" s="49"/>
      <c r="S21" s="49"/>
    </row>
    <row r="22" spans="1:19" s="50" customFormat="1" ht="18" customHeight="1">
      <c r="A22" s="514"/>
      <c r="B22" s="7">
        <v>14</v>
      </c>
      <c r="C22" s="511" t="s">
        <v>149</v>
      </c>
      <c r="D22" s="539"/>
      <c r="E22" s="539"/>
      <c r="F22" s="539"/>
      <c r="G22" s="540"/>
      <c r="H22" s="141"/>
      <c r="I22" s="140"/>
      <c r="J22" s="57"/>
      <c r="K22" s="57"/>
      <c r="L22" s="57"/>
      <c r="M22" s="49"/>
      <c r="N22" s="49"/>
      <c r="O22" s="49"/>
      <c r="P22" s="49"/>
      <c r="Q22" s="49"/>
      <c r="R22" s="49"/>
      <c r="S22" s="49"/>
    </row>
    <row r="23" spans="1:19" s="52" customFormat="1" ht="18" customHeight="1">
      <c r="A23" s="514"/>
      <c r="B23" s="7"/>
      <c r="C23" s="8"/>
      <c r="D23" s="541" t="s">
        <v>186</v>
      </c>
      <c r="E23" s="541"/>
      <c r="F23" s="168" t="s">
        <v>187</v>
      </c>
      <c r="G23" s="279">
        <f>IF(I21&lt;=250000,I21,IF(I21&gt;250000,250000,""))</f>
        <v>0</v>
      </c>
      <c r="H23" s="146">
        <f>IF(G23="","",(ROUND(G23*0,0)))</f>
        <v>0</v>
      </c>
      <c r="I23" s="147" t="s">
        <v>7</v>
      </c>
      <c r="J23" s="55"/>
      <c r="K23" s="55"/>
      <c r="L23" s="55"/>
      <c r="M23" s="55"/>
      <c r="N23" s="55"/>
      <c r="O23" s="55"/>
      <c r="P23" s="55"/>
      <c r="Q23" s="55"/>
      <c r="R23" s="51"/>
      <c r="S23" s="51"/>
    </row>
    <row r="24" spans="1:19" s="52" customFormat="1" ht="18" customHeight="1">
      <c r="A24" s="514"/>
      <c r="B24" s="300"/>
      <c r="C24" s="1"/>
      <c r="D24" s="541" t="s">
        <v>188</v>
      </c>
      <c r="E24" s="541"/>
      <c r="F24" s="148">
        <v>0.05</v>
      </c>
      <c r="G24" s="279" t="str">
        <f>IF(I21&gt;250000,IF(I21&lt;=500000,I21-250000,250000),"")</f>
        <v/>
      </c>
      <c r="H24" s="146" t="str">
        <f>IF(G24="","",(ROUND(G24*0.05,0)))</f>
        <v/>
      </c>
      <c r="I24" s="149"/>
      <c r="J24" s="55"/>
      <c r="K24" s="55"/>
      <c r="L24" s="55"/>
      <c r="M24" s="55"/>
      <c r="N24" s="55"/>
      <c r="O24" s="55"/>
      <c r="P24" s="55"/>
      <c r="Q24" s="55"/>
      <c r="R24" s="51"/>
      <c r="S24" s="51"/>
    </row>
    <row r="25" spans="1:19" s="52" customFormat="1" ht="18" customHeight="1">
      <c r="A25" s="514"/>
      <c r="B25" s="300"/>
      <c r="C25" s="1"/>
      <c r="D25" s="541" t="s">
        <v>189</v>
      </c>
      <c r="E25" s="541"/>
      <c r="F25" s="148">
        <v>0.2</v>
      </c>
      <c r="G25" s="279" t="str">
        <f>IF(I21&gt;500000,IF(I21&lt;=1000000,I21-500000,500000),"")</f>
        <v/>
      </c>
      <c r="H25" s="146" t="str">
        <f>IF(G25="","",(ROUND(G25*0.2,0)))</f>
        <v/>
      </c>
      <c r="I25" s="149"/>
      <c r="J25" s="55"/>
      <c r="K25" s="55"/>
      <c r="L25" s="55"/>
      <c r="M25" s="55"/>
      <c r="N25" s="55"/>
      <c r="O25" s="55"/>
      <c r="P25" s="55"/>
      <c r="Q25" s="55"/>
      <c r="R25" s="51"/>
      <c r="S25" s="51"/>
    </row>
    <row r="26" spans="1:19" s="52" customFormat="1" ht="18" customHeight="1">
      <c r="A26" s="514"/>
      <c r="B26" s="300"/>
      <c r="C26" s="1"/>
      <c r="D26" s="541" t="s">
        <v>190</v>
      </c>
      <c r="E26" s="541"/>
      <c r="F26" s="148">
        <v>0.3</v>
      </c>
      <c r="G26" s="279" t="str">
        <f>IF(I21&gt;1000000,I21-1000000,"")</f>
        <v/>
      </c>
      <c r="H26" s="146" t="str">
        <f>IF(G26="","",(ROUND(G26*0.3,0)))</f>
        <v/>
      </c>
      <c r="I26" s="149"/>
      <c r="J26" s="55"/>
      <c r="K26" s="55"/>
      <c r="L26" s="55"/>
      <c r="M26" s="55"/>
      <c r="N26" s="55"/>
      <c r="O26" s="55"/>
      <c r="P26" s="55"/>
      <c r="Q26" s="55"/>
      <c r="R26" s="51"/>
      <c r="S26" s="51"/>
    </row>
    <row r="27" spans="1:19" s="52" customFormat="1" ht="18" customHeight="1">
      <c r="A27" s="514"/>
      <c r="B27" s="7">
        <v>15</v>
      </c>
      <c r="C27" s="511" t="s">
        <v>276</v>
      </c>
      <c r="D27" s="539"/>
      <c r="E27" s="539"/>
      <c r="F27" s="539"/>
      <c r="G27" s="540"/>
      <c r="H27" s="146"/>
      <c r="I27" s="149">
        <f>SUM(H23:H26)</f>
        <v>0</v>
      </c>
      <c r="J27" s="55"/>
      <c r="K27" s="55"/>
      <c r="L27" s="55"/>
      <c r="M27" s="55"/>
      <c r="N27" s="55"/>
      <c r="O27" s="55"/>
      <c r="P27" s="55"/>
      <c r="Q27" s="55"/>
      <c r="R27" s="51"/>
      <c r="S27" s="51"/>
    </row>
    <row r="28" spans="1:19" s="52" customFormat="1" ht="30" customHeight="1">
      <c r="A28" s="514"/>
      <c r="B28" s="150">
        <v>16</v>
      </c>
      <c r="C28" s="511" t="s">
        <v>304</v>
      </c>
      <c r="D28" s="539"/>
      <c r="E28" s="539"/>
      <c r="F28" s="539"/>
      <c r="G28" s="540"/>
      <c r="H28" s="146">
        <f>IF(I27&lt;=12500,I27,0)</f>
        <v>0</v>
      </c>
      <c r="I28" s="149"/>
      <c r="J28" s="55"/>
      <c r="K28" s="55"/>
      <c r="L28" s="55"/>
      <c r="M28" s="55"/>
      <c r="N28" s="55"/>
      <c r="O28" s="55"/>
      <c r="P28" s="55"/>
      <c r="Q28" s="55"/>
      <c r="R28" s="51"/>
      <c r="S28" s="51"/>
    </row>
    <row r="29" spans="1:19" s="52" customFormat="1" ht="18" customHeight="1">
      <c r="A29" s="514"/>
      <c r="B29" s="6">
        <v>17</v>
      </c>
      <c r="C29" s="511" t="s">
        <v>278</v>
      </c>
      <c r="D29" s="539"/>
      <c r="E29" s="539"/>
      <c r="F29" s="539"/>
      <c r="G29" s="540"/>
      <c r="H29" s="146"/>
      <c r="I29" s="149">
        <f>SUM(I27-H28)</f>
        <v>0</v>
      </c>
      <c r="J29" s="55"/>
      <c r="K29" s="55"/>
      <c r="L29" s="55"/>
      <c r="M29" s="55"/>
      <c r="N29" s="55"/>
      <c r="O29" s="55"/>
      <c r="P29" s="55"/>
      <c r="Q29" s="55"/>
      <c r="R29" s="51"/>
      <c r="S29" s="51"/>
    </row>
    <row r="30" spans="1:19" s="52" customFormat="1" ht="18" customHeight="1">
      <c r="A30" s="514"/>
      <c r="B30" s="6">
        <v>18</v>
      </c>
      <c r="C30" s="511" t="s">
        <v>191</v>
      </c>
      <c r="D30" s="539"/>
      <c r="E30" s="539"/>
      <c r="F30" s="539"/>
      <c r="G30" s="540"/>
      <c r="H30" s="146"/>
      <c r="I30" s="149">
        <f>ROUND(I29*0.04,0)</f>
        <v>0</v>
      </c>
      <c r="J30" s="55"/>
      <c r="K30" s="55"/>
      <c r="L30" s="55"/>
      <c r="M30" s="55"/>
      <c r="N30" s="55"/>
      <c r="O30" s="55"/>
      <c r="P30" s="55"/>
      <c r="Q30" s="55"/>
      <c r="R30" s="51"/>
      <c r="S30" s="51"/>
    </row>
    <row r="31" spans="1:19" s="52" customFormat="1" ht="18" customHeight="1">
      <c r="A31" s="514"/>
      <c r="B31" s="297">
        <v>19</v>
      </c>
      <c r="C31" s="511" t="s">
        <v>18</v>
      </c>
      <c r="D31" s="539"/>
      <c r="E31" s="539"/>
      <c r="F31" s="539"/>
      <c r="G31" s="540"/>
      <c r="H31" s="146"/>
      <c r="I31" s="149">
        <f>SUM(I29:I30)</f>
        <v>0</v>
      </c>
      <c r="J31" s="55"/>
      <c r="K31" s="55"/>
      <c r="L31" s="55"/>
      <c r="M31" s="55"/>
      <c r="N31" s="55"/>
      <c r="O31" s="55"/>
      <c r="P31" s="55"/>
      <c r="Q31" s="55"/>
      <c r="R31" s="51"/>
      <c r="S31" s="51"/>
    </row>
    <row r="32" spans="1:19" s="52" customFormat="1" ht="18" customHeight="1">
      <c r="A32" s="514"/>
      <c r="B32" s="5">
        <v>20</v>
      </c>
      <c r="C32" s="511" t="s">
        <v>301</v>
      </c>
      <c r="D32" s="539"/>
      <c r="E32" s="539"/>
      <c r="F32" s="539"/>
      <c r="G32" s="540"/>
      <c r="H32" s="146">
        <f>SUM('OLD P4'!T25)</f>
        <v>0</v>
      </c>
      <c r="I32" s="149"/>
      <c r="J32" s="55"/>
      <c r="K32" s="55"/>
      <c r="L32" s="55"/>
      <c r="M32" s="55"/>
      <c r="N32" s="55"/>
      <c r="O32" s="55"/>
      <c r="P32" s="55"/>
      <c r="Q32" s="55"/>
      <c r="R32" s="51"/>
      <c r="S32" s="51"/>
    </row>
    <row r="33" spans="1:19" s="52" customFormat="1" ht="18" customHeight="1">
      <c r="A33" s="514"/>
      <c r="B33" s="167"/>
      <c r="C33" s="511" t="s">
        <v>302</v>
      </c>
      <c r="D33" s="539"/>
      <c r="E33" s="539"/>
      <c r="F33" s="539"/>
      <c r="G33" s="540"/>
      <c r="H33" s="258">
        <f>SUM('OLD P3'!H27)</f>
        <v>0</v>
      </c>
      <c r="I33" s="149"/>
      <c r="J33" s="55"/>
      <c r="K33" s="55"/>
      <c r="L33" s="55"/>
      <c r="M33" s="55"/>
      <c r="N33" s="55"/>
      <c r="O33" s="55"/>
      <c r="P33" s="55"/>
      <c r="Q33" s="55"/>
      <c r="R33" s="51"/>
      <c r="S33" s="51"/>
    </row>
    <row r="34" spans="1:19" s="52" customFormat="1" ht="30" customHeight="1" thickBot="1">
      <c r="A34" s="514"/>
      <c r="B34" s="151">
        <v>21</v>
      </c>
      <c r="C34" s="544" t="s">
        <v>303</v>
      </c>
      <c r="D34" s="627"/>
      <c r="E34" s="627"/>
      <c r="F34" s="627"/>
      <c r="G34" s="628"/>
      <c r="H34" s="145" t="s">
        <v>7</v>
      </c>
      <c r="I34" s="152">
        <f>SUM(I31-(H32+H33))</f>
        <v>0</v>
      </c>
      <c r="J34" s="55"/>
      <c r="K34" s="55"/>
      <c r="L34" s="55"/>
      <c r="M34" s="55"/>
      <c r="N34" s="55"/>
      <c r="O34" s="55"/>
      <c r="P34" s="55"/>
      <c r="Q34" s="55"/>
      <c r="R34" s="51"/>
      <c r="S34" s="51"/>
    </row>
    <row r="35" spans="1:19" s="52" customFormat="1" ht="22.5" customHeight="1" thickTop="1">
      <c r="A35" s="514"/>
      <c r="B35" s="556" t="s">
        <v>9</v>
      </c>
      <c r="C35" s="557"/>
      <c r="D35" s="557"/>
      <c r="E35" s="557"/>
      <c r="F35" s="557"/>
      <c r="G35" s="557"/>
      <c r="H35" s="557"/>
      <c r="I35" s="558"/>
      <c r="J35" s="55"/>
      <c r="K35" s="55"/>
      <c r="L35" s="55"/>
      <c r="M35" s="55"/>
      <c r="N35" s="55"/>
      <c r="O35" s="55"/>
      <c r="P35" s="55"/>
      <c r="Q35" s="55"/>
      <c r="R35" s="51"/>
      <c r="S35" s="51"/>
    </row>
    <row r="36" spans="1:19" s="52" customFormat="1" ht="15.75" customHeight="1">
      <c r="A36" s="514"/>
      <c r="B36" s="183"/>
      <c r="C36" s="153" t="s">
        <v>192</v>
      </c>
      <c r="D36" s="72" t="s">
        <v>219</v>
      </c>
      <c r="E36" s="178"/>
      <c r="F36" s="178"/>
      <c r="G36" s="178"/>
      <c r="H36" s="178"/>
      <c r="I36" s="179">
        <f>SUM(MASTER!G44)</f>
        <v>10000</v>
      </c>
      <c r="J36" s="55"/>
      <c r="K36" s="55"/>
      <c r="L36" s="55"/>
      <c r="M36" s="55"/>
      <c r="N36" s="55"/>
      <c r="O36" s="55"/>
      <c r="P36" s="55"/>
      <c r="Q36" s="55"/>
      <c r="R36" s="51"/>
      <c r="S36" s="51"/>
    </row>
    <row r="37" spans="1:19" s="52" customFormat="1" ht="15.75" customHeight="1">
      <c r="A37" s="514"/>
      <c r="B37" s="184"/>
      <c r="C37" s="169" t="s">
        <v>193</v>
      </c>
      <c r="D37" s="72" t="s">
        <v>220</v>
      </c>
      <c r="E37" s="72"/>
      <c r="F37" s="171">
        <f>SUM('OLD P1'!H34:H35)</f>
        <v>0</v>
      </c>
      <c r="G37" s="72" t="s">
        <v>378</v>
      </c>
      <c r="H37" s="72"/>
      <c r="I37" s="162"/>
      <c r="J37" s="55"/>
      <c r="K37" s="55"/>
      <c r="L37" s="55"/>
      <c r="M37" s="55"/>
      <c r="N37" s="55"/>
      <c r="O37" s="55"/>
      <c r="P37" s="55"/>
      <c r="Q37" s="55"/>
      <c r="R37" s="51"/>
      <c r="S37" s="51"/>
    </row>
    <row r="38" spans="1:19" s="52" customFormat="1" ht="15.75" customHeight="1">
      <c r="A38" s="514"/>
      <c r="B38" s="154"/>
      <c r="C38" s="10"/>
      <c r="D38" s="629" t="s">
        <v>377</v>
      </c>
      <c r="E38" s="629"/>
      <c r="F38" s="296"/>
      <c r="G38" s="10"/>
      <c r="H38" s="10"/>
      <c r="I38" s="11"/>
      <c r="J38" s="55"/>
      <c r="K38" s="55"/>
      <c r="L38" s="55"/>
      <c r="M38" s="55"/>
      <c r="N38" s="55"/>
      <c r="O38" s="55"/>
      <c r="P38" s="55"/>
      <c r="Q38" s="55"/>
      <c r="R38" s="51"/>
      <c r="S38" s="51"/>
    </row>
    <row r="39" spans="1:19" s="52" customFormat="1" ht="15.75" customHeight="1">
      <c r="A39" s="514"/>
      <c r="B39" s="300"/>
      <c r="C39" s="301" t="s">
        <v>218</v>
      </c>
      <c r="D39" s="176" t="s">
        <v>48</v>
      </c>
      <c r="E39" s="176"/>
      <c r="F39" s="176"/>
      <c r="G39" s="176"/>
      <c r="H39" s="176"/>
      <c r="I39" s="177"/>
      <c r="J39" s="55"/>
      <c r="K39" s="55"/>
      <c r="L39" s="55"/>
      <c r="M39" s="55"/>
      <c r="N39" s="55"/>
      <c r="O39" s="55"/>
      <c r="P39" s="55"/>
      <c r="Q39" s="55"/>
      <c r="R39" s="51"/>
      <c r="S39" s="51"/>
    </row>
    <row r="40" spans="1:19" s="52" customFormat="1" ht="24" customHeight="1">
      <c r="A40" s="514"/>
      <c r="B40" s="534" t="s">
        <v>49</v>
      </c>
      <c r="C40" s="535"/>
      <c r="D40" s="535"/>
      <c r="E40" s="535"/>
      <c r="F40" s="301"/>
      <c r="G40" s="10"/>
      <c r="H40" s="10"/>
      <c r="I40" s="11"/>
      <c r="J40" s="55"/>
      <c r="K40" s="55"/>
      <c r="L40" s="55"/>
      <c r="M40" s="55"/>
      <c r="N40" s="55"/>
      <c r="O40" s="55"/>
      <c r="P40" s="55"/>
      <c r="Q40" s="55"/>
      <c r="R40" s="51"/>
      <c r="S40" s="51"/>
    </row>
    <row r="41" spans="1:19" s="52" customFormat="1" ht="18" customHeight="1">
      <c r="A41" s="514"/>
      <c r="B41" s="300"/>
      <c r="C41" s="301"/>
      <c r="D41" s="301"/>
      <c r="E41" s="301"/>
      <c r="F41" s="301"/>
      <c r="G41" s="10"/>
      <c r="H41" s="10"/>
      <c r="I41" s="11"/>
      <c r="J41" s="55"/>
      <c r="K41" s="55"/>
      <c r="L41" s="55"/>
      <c r="M41" s="55"/>
      <c r="N41" s="55"/>
      <c r="O41" s="55"/>
      <c r="P41" s="55"/>
      <c r="Q41" s="55"/>
      <c r="R41" s="51"/>
      <c r="S41" s="51"/>
    </row>
    <row r="42" spans="1:19" s="52" customFormat="1" ht="18" customHeight="1">
      <c r="A42" s="514"/>
      <c r="B42" s="534" t="s">
        <v>194</v>
      </c>
      <c r="C42" s="535"/>
      <c r="D42" s="535"/>
      <c r="E42" s="535"/>
      <c r="F42" s="535" t="s">
        <v>21</v>
      </c>
      <c r="G42" s="535"/>
      <c r="H42" s="535"/>
      <c r="I42" s="547"/>
      <c r="J42" s="55"/>
      <c r="K42" s="55"/>
      <c r="L42" s="55"/>
      <c r="M42" s="55"/>
      <c r="N42" s="55"/>
      <c r="O42" s="55"/>
      <c r="P42" s="55"/>
      <c r="Q42" s="55"/>
      <c r="R42" s="51"/>
      <c r="S42" s="51"/>
    </row>
    <row r="43" spans="1:19" s="52" customFormat="1" ht="15.75" customHeight="1">
      <c r="A43" s="514"/>
      <c r="B43" s="633"/>
      <c r="C43" s="634"/>
      <c r="D43" s="634"/>
      <c r="E43" s="634"/>
      <c r="F43" s="535">
        <f>(MASTER!E8)</f>
        <v>0</v>
      </c>
      <c r="G43" s="535"/>
      <c r="H43" s="535"/>
      <c r="I43" s="547"/>
      <c r="J43" s="55"/>
      <c r="K43" s="55"/>
      <c r="L43" s="55"/>
      <c r="M43" s="55"/>
      <c r="N43" s="55"/>
      <c r="O43" s="55"/>
      <c r="P43" s="55"/>
      <c r="Q43" s="55"/>
      <c r="R43" s="51"/>
      <c r="S43" s="51"/>
    </row>
    <row r="44" spans="1:19" s="52" customFormat="1" ht="15.75" customHeight="1">
      <c r="A44" s="514"/>
      <c r="B44" s="633"/>
      <c r="C44" s="634"/>
      <c r="D44" s="634"/>
      <c r="E44" s="634"/>
      <c r="F44" s="535">
        <f>(MASTER!E9)</f>
        <v>0</v>
      </c>
      <c r="G44" s="535"/>
      <c r="H44" s="535"/>
      <c r="I44" s="547"/>
      <c r="J44" s="55"/>
      <c r="K44" s="55"/>
      <c r="L44" s="55"/>
      <c r="M44" s="55"/>
      <c r="N44" s="55"/>
      <c r="O44" s="55"/>
      <c r="P44" s="55"/>
      <c r="Q44" s="55"/>
      <c r="R44" s="51"/>
      <c r="S44" s="51"/>
    </row>
    <row r="45" spans="1:19" s="52" customFormat="1" ht="15.75" customHeight="1">
      <c r="A45" s="514"/>
      <c r="B45" s="633"/>
      <c r="C45" s="634"/>
      <c r="D45" s="634"/>
      <c r="E45" s="634"/>
      <c r="F45" s="535">
        <f>(MASTER!E10)</f>
        <v>0</v>
      </c>
      <c r="G45" s="535"/>
      <c r="H45" s="535"/>
      <c r="I45" s="547"/>
      <c r="J45" s="55"/>
      <c r="K45" s="55"/>
      <c r="L45" s="55"/>
      <c r="M45" s="55"/>
      <c r="N45" s="55"/>
      <c r="O45" s="55"/>
      <c r="P45" s="55"/>
      <c r="Q45" s="55"/>
      <c r="R45" s="51"/>
      <c r="S45" s="51"/>
    </row>
    <row r="46" spans="1:19" s="52" customFormat="1" ht="15.75" customHeight="1" thickBot="1">
      <c r="A46" s="514"/>
      <c r="B46" s="244"/>
      <c r="C46" s="275"/>
      <c r="D46" s="275"/>
      <c r="E46" s="275"/>
      <c r="F46" s="635">
        <f>(MASTER!E11)</f>
        <v>0</v>
      </c>
      <c r="G46" s="635"/>
      <c r="H46" s="635"/>
      <c r="I46" s="636"/>
      <c r="J46" s="55"/>
      <c r="K46" s="55"/>
      <c r="L46" s="55"/>
      <c r="M46" s="55"/>
      <c r="N46" s="55"/>
      <c r="O46" s="55"/>
      <c r="P46" s="55"/>
      <c r="Q46" s="55"/>
      <c r="R46" s="51"/>
      <c r="S46" s="51"/>
    </row>
    <row r="47" spans="1:19" ht="16.5" thickTop="1" thickBot="1">
      <c r="B47" s="630" t="s">
        <v>195</v>
      </c>
      <c r="C47" s="630"/>
      <c r="D47" s="630"/>
      <c r="E47" s="630"/>
      <c r="F47" s="630"/>
      <c r="G47" s="630"/>
      <c r="H47" s="630"/>
      <c r="I47" s="630"/>
    </row>
    <row r="48" spans="1:19" ht="18" customHeight="1" thickBot="1">
      <c r="B48" s="631" t="s">
        <v>196</v>
      </c>
      <c r="C48" s="632"/>
      <c r="D48" s="632"/>
      <c r="E48" s="632"/>
      <c r="F48" s="632"/>
      <c r="G48" s="632"/>
      <c r="H48" s="299">
        <f>IF(I34&gt;=1,SUM(I29-(SUM(MASTER!E21:E32,MASTER!N56:N59,ADJUST!U33:U37))),0)</f>
        <v>0</v>
      </c>
      <c r="I48" s="201">
        <f>IF(I34&gt;=1,SUM(I30-(SUM(MASTER!F21:F32,MASTER!O56:O59,ADJUST!V33:V37))),0)</f>
        <v>0</v>
      </c>
    </row>
  </sheetData>
  <sheetProtection password="8541" sheet="1" objects="1" scenarios="1"/>
  <mergeCells count="51">
    <mergeCell ref="K6:N7"/>
    <mergeCell ref="D3:G3"/>
    <mergeCell ref="D11:G11"/>
    <mergeCell ref="D17:G17"/>
    <mergeCell ref="C20:G20"/>
    <mergeCell ref="D9:G9"/>
    <mergeCell ref="D10:G10"/>
    <mergeCell ref="D18:G18"/>
    <mergeCell ref="D15:G15"/>
    <mergeCell ref="D16:G16"/>
    <mergeCell ref="D12:G12"/>
    <mergeCell ref="D13:G13"/>
    <mergeCell ref="D14:G14"/>
    <mergeCell ref="E5:G5"/>
    <mergeCell ref="C19:G19"/>
    <mergeCell ref="B40:E40"/>
    <mergeCell ref="B47:I47"/>
    <mergeCell ref="B48:G48"/>
    <mergeCell ref="B43:E43"/>
    <mergeCell ref="F43:I43"/>
    <mergeCell ref="B44:E44"/>
    <mergeCell ref="F44:I44"/>
    <mergeCell ref="B45:E45"/>
    <mergeCell ref="F45:I45"/>
    <mergeCell ref="F46:I46"/>
    <mergeCell ref="C33:G33"/>
    <mergeCell ref="C34:G34"/>
    <mergeCell ref="B35:I35"/>
    <mergeCell ref="D38:E38"/>
    <mergeCell ref="C29:G29"/>
    <mergeCell ref="C27:G27"/>
    <mergeCell ref="C28:G28"/>
    <mergeCell ref="C30:G30"/>
    <mergeCell ref="C31:G31"/>
    <mergeCell ref="C32:G32"/>
    <mergeCell ref="A1:I1"/>
    <mergeCell ref="A2:A46"/>
    <mergeCell ref="C2:D2"/>
    <mergeCell ref="E2:G2"/>
    <mergeCell ref="E4:G4"/>
    <mergeCell ref="E6:G6"/>
    <mergeCell ref="E7:G7"/>
    <mergeCell ref="D26:E26"/>
    <mergeCell ref="C21:G21"/>
    <mergeCell ref="E8:G8"/>
    <mergeCell ref="C22:G22"/>
    <mergeCell ref="D23:E23"/>
    <mergeCell ref="D24:E24"/>
    <mergeCell ref="D25:E25"/>
    <mergeCell ref="B42:E42"/>
    <mergeCell ref="F42:I42"/>
  </mergeCells>
  <pageMargins left="0.59055118110236227" right="0.59055118110236227" top="0.59055118110236227" bottom="0.59055118110236227" header="0.39370078740157483" footer="0.39370078740157483"/>
  <pageSetup paperSize="9" scale="93" firstPageNumber="3" orientation="portrait" useFirstPageNumber="1" r:id="rId1"/>
  <ignoredErrors>
    <ignoredError sqref="H33 H5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8"/>
  <sheetViews>
    <sheetView showGridLines="0" view="pageBreakPreview" zoomScaleSheetLayoutView="100" workbookViewId="0">
      <selection activeCell="E3" sqref="E3:F3"/>
    </sheetView>
  </sheetViews>
  <sheetFormatPr defaultColWidth="9.140625" defaultRowHeight="15"/>
  <cols>
    <col min="1" max="1" width="1.7109375" style="25" customWidth="1"/>
    <col min="2" max="2" width="16.42578125" style="25" customWidth="1"/>
    <col min="3" max="3" width="7.85546875" style="25" customWidth="1"/>
    <col min="4" max="4" width="13.140625" style="25" customWidth="1"/>
    <col min="5" max="5" width="12.5703125" style="25" customWidth="1"/>
    <col min="6" max="6" width="11.28515625" style="25" customWidth="1"/>
    <col min="7" max="7" width="15.7109375" style="25" customWidth="1"/>
    <col min="8" max="8" width="14.85546875" style="25" customWidth="1"/>
    <col min="9" max="16384" width="9.140625" style="158"/>
  </cols>
  <sheetData>
    <row r="1" spans="1:8" s="25" customFormat="1" ht="10.5" customHeight="1" thickBot="1">
      <c r="A1" s="155" t="s">
        <v>197</v>
      </c>
      <c r="E1" s="156"/>
    </row>
    <row r="2" spans="1:8" s="25" customFormat="1" ht="22.5" customHeight="1" thickTop="1" thickBot="1">
      <c r="B2" s="642" t="s">
        <v>272</v>
      </c>
      <c r="C2" s="643"/>
      <c r="D2" s="643"/>
      <c r="E2" s="643"/>
      <c r="F2" s="643"/>
      <c r="G2" s="643"/>
      <c r="H2" s="644"/>
    </row>
    <row r="3" spans="1:8" ht="30" customHeight="1" thickTop="1">
      <c r="B3" s="242" t="s">
        <v>199</v>
      </c>
      <c r="C3" s="645" t="s">
        <v>266</v>
      </c>
      <c r="D3" s="649"/>
      <c r="E3" s="645" t="s">
        <v>267</v>
      </c>
      <c r="F3" s="649"/>
      <c r="G3" s="645" t="s">
        <v>264</v>
      </c>
      <c r="H3" s="646"/>
    </row>
    <row r="4" spans="1:8" ht="21" customHeight="1">
      <c r="B4" s="159" t="str">
        <f>IF(MASTER!J43="","",MASTER!J43)</f>
        <v/>
      </c>
      <c r="C4" s="647" t="str">
        <f>IF(MASTER!K43="","",MASTER!K43)</f>
        <v/>
      </c>
      <c r="D4" s="648"/>
      <c r="E4" s="647" t="str">
        <f>IF(MASTER!M43="","",MASTER!M43)</f>
        <v/>
      </c>
      <c r="F4" s="648"/>
      <c r="G4" s="232"/>
      <c r="H4" s="210" t="str">
        <f>IF(MASTER!N43="","",MASTER!N43)</f>
        <v/>
      </c>
    </row>
    <row r="5" spans="1:8" ht="21" customHeight="1">
      <c r="B5" s="159" t="str">
        <f>IF(MASTER!J44="","",MASTER!J44)</f>
        <v/>
      </c>
      <c r="C5" s="647" t="str">
        <f>IF(MASTER!K44="","",MASTER!K44)</f>
        <v/>
      </c>
      <c r="D5" s="648"/>
      <c r="E5" s="647" t="str">
        <f>IF(MASTER!M44="","",MASTER!M44)</f>
        <v/>
      </c>
      <c r="F5" s="648"/>
      <c r="G5" s="232"/>
      <c r="H5" s="210" t="str">
        <f>IF(MASTER!N44="","",MASTER!N44)</f>
        <v/>
      </c>
    </row>
    <row r="6" spans="1:8" ht="21" customHeight="1">
      <c r="B6" s="159" t="str">
        <f>IF(MASTER!J45="","",MASTER!J45)</f>
        <v/>
      </c>
      <c r="C6" s="647" t="str">
        <f>IF(MASTER!K45="","",MASTER!K45)</f>
        <v/>
      </c>
      <c r="D6" s="648"/>
      <c r="E6" s="647" t="str">
        <f>IF(MASTER!M45="","",MASTER!M45)</f>
        <v/>
      </c>
      <c r="F6" s="648"/>
      <c r="G6" s="232"/>
      <c r="H6" s="210" t="str">
        <f>IF(MASTER!N45="","",MASTER!N45)</f>
        <v/>
      </c>
    </row>
    <row r="7" spans="1:8" ht="21" customHeight="1">
      <c r="B7" s="159" t="str">
        <f>IF(MASTER!J46="","",MASTER!J46)</f>
        <v/>
      </c>
      <c r="C7" s="647" t="str">
        <f>IF(MASTER!K46="","",MASTER!K46)</f>
        <v/>
      </c>
      <c r="D7" s="648"/>
      <c r="E7" s="647" t="str">
        <f>IF(MASTER!M46="","",MASTER!M46)</f>
        <v/>
      </c>
      <c r="F7" s="648"/>
      <c r="G7" s="232"/>
      <c r="H7" s="210" t="str">
        <f>IF(MASTER!N46="","",MASTER!N46)</f>
        <v/>
      </c>
    </row>
    <row r="8" spans="1:8" ht="21" customHeight="1">
      <c r="B8" s="157" t="str">
        <f>IF(MASTER!J47="","",MASTER!J47)</f>
        <v/>
      </c>
      <c r="C8" s="666" t="str">
        <f>IF(MASTER!K47="","",MASTER!K47)</f>
        <v/>
      </c>
      <c r="D8" s="667"/>
      <c r="E8" s="666" t="str">
        <f>IF(MASTER!M47="","",MASTER!M47)</f>
        <v/>
      </c>
      <c r="F8" s="667"/>
      <c r="G8" s="144"/>
      <c r="H8" s="222" t="str">
        <f>IF(MASTER!N47="","",MASTER!N47)</f>
        <v/>
      </c>
    </row>
    <row r="9" spans="1:8" ht="22.5" customHeight="1">
      <c r="B9" s="669"/>
      <c r="C9" s="670"/>
      <c r="D9" s="670"/>
      <c r="E9" s="670"/>
      <c r="F9" s="671"/>
      <c r="G9" s="220" t="s">
        <v>200</v>
      </c>
      <c r="H9" s="216">
        <f>SUM(G4:H8)</f>
        <v>0</v>
      </c>
    </row>
    <row r="10" spans="1:8" ht="22.5" customHeight="1">
      <c r="B10" s="655" t="s">
        <v>271</v>
      </c>
      <c r="C10" s="656"/>
      <c r="D10" s="656"/>
      <c r="E10" s="656"/>
      <c r="F10" s="656"/>
      <c r="G10" s="656"/>
      <c r="H10" s="657"/>
    </row>
    <row r="11" spans="1:8" ht="24" customHeight="1">
      <c r="B11" s="160" t="s">
        <v>201</v>
      </c>
      <c r="C11" s="658" t="s">
        <v>202</v>
      </c>
      <c r="D11" s="660"/>
      <c r="E11" s="658" t="s">
        <v>203</v>
      </c>
      <c r="F11" s="660"/>
      <c r="G11" s="658" t="s">
        <v>204</v>
      </c>
      <c r="H11" s="659"/>
    </row>
    <row r="12" spans="1:8" ht="21" customHeight="1">
      <c r="B12" s="160" t="str">
        <f>IF(MASTER!D57="","",MASTER!D57)</f>
        <v/>
      </c>
      <c r="C12" s="675" t="str">
        <f>IF(MASTER!E57="","",MASTER!E57)</f>
        <v/>
      </c>
      <c r="D12" s="676"/>
      <c r="E12" s="658" t="str">
        <f>IF(MASTER!F57="","",MASTER!F57)</f>
        <v/>
      </c>
      <c r="F12" s="660"/>
      <c r="G12" s="233"/>
      <c r="H12" s="208" t="str">
        <f>IF(MASTER!G57="","",MASTER!G57)</f>
        <v/>
      </c>
    </row>
    <row r="13" spans="1:8" ht="21" customHeight="1">
      <c r="B13" s="159" t="str">
        <f>IF(MASTER!D58="","",MASTER!D58)</f>
        <v/>
      </c>
      <c r="C13" s="647" t="str">
        <f>IF(MASTER!E58="","",MASTER!E58)</f>
        <v/>
      </c>
      <c r="D13" s="648"/>
      <c r="E13" s="677" t="str">
        <f>IF(MASTER!F58="","",MASTER!F58)</f>
        <v/>
      </c>
      <c r="F13" s="678"/>
      <c r="G13" s="284"/>
      <c r="H13" s="285" t="str">
        <f>IF(MASTER!G58="","",MASTER!G58)</f>
        <v/>
      </c>
    </row>
    <row r="14" spans="1:8" ht="21" customHeight="1">
      <c r="B14" s="157" t="str">
        <f>IF(MASTER!D59="","",MASTER!D59)</f>
        <v/>
      </c>
      <c r="C14" s="666" t="str">
        <f>IF(MASTER!E59="","",MASTER!E59)</f>
        <v/>
      </c>
      <c r="D14" s="667"/>
      <c r="E14" s="661" t="str">
        <f>IF(MASTER!F59="","",MASTER!F59)</f>
        <v/>
      </c>
      <c r="F14" s="662"/>
      <c r="G14" s="234"/>
      <c r="H14" s="223" t="str">
        <f>IF(MASTER!G59="","",MASTER!G59)</f>
        <v/>
      </c>
    </row>
    <row r="15" spans="1:8" ht="22.5" customHeight="1">
      <c r="B15" s="672" t="s">
        <v>197</v>
      </c>
      <c r="C15" s="673"/>
      <c r="D15" s="673"/>
      <c r="E15" s="673"/>
      <c r="F15" s="674"/>
      <c r="G15" s="219" t="s">
        <v>200</v>
      </c>
      <c r="H15" s="216">
        <f>SUM(G12:H14)</f>
        <v>0</v>
      </c>
    </row>
    <row r="16" spans="1:8" ht="22.5" customHeight="1">
      <c r="B16" s="655" t="s">
        <v>269</v>
      </c>
      <c r="C16" s="656"/>
      <c r="D16" s="656"/>
      <c r="E16" s="656"/>
      <c r="F16" s="656"/>
      <c r="G16" s="656"/>
      <c r="H16" s="657"/>
    </row>
    <row r="17" spans="2:8" ht="30" customHeight="1">
      <c r="B17" s="665" t="s">
        <v>206</v>
      </c>
      <c r="C17" s="660"/>
      <c r="D17" s="658" t="s">
        <v>256</v>
      </c>
      <c r="E17" s="668"/>
      <c r="F17" s="660"/>
      <c r="G17" s="213" t="s">
        <v>258</v>
      </c>
      <c r="H17" s="214" t="s">
        <v>265</v>
      </c>
    </row>
    <row r="18" spans="2:8" ht="30" customHeight="1">
      <c r="B18" s="665" t="str">
        <f>IF(MASTER!J51="","",MASTER!J51)</f>
        <v/>
      </c>
      <c r="C18" s="668"/>
      <c r="D18" s="658" t="str">
        <f>IF(MASTER!K51="","",MASTER!K51)</f>
        <v/>
      </c>
      <c r="E18" s="668"/>
      <c r="F18" s="660"/>
      <c r="G18" s="217" t="str">
        <f>IF(MASTER!N51="","",MASTER!N51)</f>
        <v/>
      </c>
      <c r="H18" s="224" t="str">
        <f>IF(MASTER!O51="","",MASTER!O51)</f>
        <v/>
      </c>
    </row>
    <row r="19" spans="2:8" ht="30" customHeight="1">
      <c r="B19" s="680" t="str">
        <f>IF(MASTER!J52="","",MASTER!J52)</f>
        <v/>
      </c>
      <c r="C19" s="662"/>
      <c r="D19" s="661" t="str">
        <f>IF(MASTER!K52="","",MASTER!K52)</f>
        <v/>
      </c>
      <c r="E19" s="679"/>
      <c r="F19" s="662"/>
      <c r="G19" s="218" t="str">
        <f>IF(MASTER!N52="","",MASTER!N52)</f>
        <v/>
      </c>
      <c r="H19" s="225" t="str">
        <f>IF(MASTER!O52="","",MASTER!O52)</f>
        <v/>
      </c>
    </row>
    <row r="20" spans="2:8" ht="22.5" customHeight="1">
      <c r="B20" s="681"/>
      <c r="C20" s="682"/>
      <c r="D20" s="682"/>
      <c r="E20" s="682"/>
      <c r="F20" s="683"/>
      <c r="G20" s="215" t="s">
        <v>200</v>
      </c>
      <c r="H20" s="216">
        <f>SUM(H18:H19)</f>
        <v>0</v>
      </c>
    </row>
    <row r="21" spans="2:8" ht="22.5" customHeight="1">
      <c r="B21" s="655" t="s">
        <v>270</v>
      </c>
      <c r="C21" s="656"/>
      <c r="D21" s="656"/>
      <c r="E21" s="656"/>
      <c r="F21" s="656"/>
      <c r="G21" s="656"/>
      <c r="H21" s="657"/>
    </row>
    <row r="22" spans="2:8" ht="24" customHeight="1">
      <c r="B22" s="221" t="s">
        <v>259</v>
      </c>
      <c r="C22" s="658" t="s">
        <v>260</v>
      </c>
      <c r="D22" s="660"/>
      <c r="E22" s="658" t="s">
        <v>261</v>
      </c>
      <c r="F22" s="660"/>
      <c r="G22" s="658" t="s">
        <v>262</v>
      </c>
      <c r="H22" s="659"/>
    </row>
    <row r="23" spans="2:8" ht="21" customHeight="1">
      <c r="B23" s="160" t="str">
        <f>IF(MASTER!J56="","",MASTER!J56)</f>
        <v/>
      </c>
      <c r="C23" s="675" t="str">
        <f>IF(MASTER!K56="","",MASTER!K56)</f>
        <v/>
      </c>
      <c r="D23" s="676"/>
      <c r="E23" s="675" t="str">
        <f>IF(MASTER!M56="","",MASTER!M56)</f>
        <v/>
      </c>
      <c r="F23" s="676"/>
      <c r="G23" s="231"/>
      <c r="H23" s="209" t="str">
        <f>IF(AND(MASTER!N56="",MASTER!O56=""),"",(SUM(MASTER!N56:O56)))</f>
        <v/>
      </c>
    </row>
    <row r="24" spans="2:8" ht="21" customHeight="1">
      <c r="B24" s="159" t="str">
        <f>IF(MASTER!J57="","",MASTER!J57)</f>
        <v/>
      </c>
      <c r="C24" s="647" t="str">
        <f>IF(MASTER!K57="","",MASTER!K57)</f>
        <v/>
      </c>
      <c r="D24" s="648"/>
      <c r="E24" s="647" t="str">
        <f>IF(MASTER!M57="","",MASTER!M57)</f>
        <v/>
      </c>
      <c r="F24" s="648"/>
      <c r="G24" s="163"/>
      <c r="H24" s="210" t="str">
        <f>IF(AND(MASTER!N57="",MASTER!O57=""),"",(SUM(MASTER!N57:O57)))</f>
        <v/>
      </c>
    </row>
    <row r="25" spans="2:8" ht="21" customHeight="1">
      <c r="B25" s="159" t="str">
        <f>IF(MASTER!J58="","",MASTER!J58)</f>
        <v/>
      </c>
      <c r="C25" s="647" t="str">
        <f>IF(MASTER!K58="","",MASTER!K58)</f>
        <v/>
      </c>
      <c r="D25" s="648"/>
      <c r="E25" s="647" t="str">
        <f>IF(MASTER!M58="","",MASTER!M58)</f>
        <v/>
      </c>
      <c r="F25" s="648"/>
      <c r="G25" s="163"/>
      <c r="H25" s="210" t="str">
        <f>IF(AND(MASTER!N58="",MASTER!O58=""),"",(SUM(MASTER!N58:O58)))</f>
        <v/>
      </c>
    </row>
    <row r="26" spans="2:8" ht="21" customHeight="1">
      <c r="B26" s="159" t="str">
        <f>IF(MASTER!J59="","",MASTER!J59)</f>
        <v/>
      </c>
      <c r="C26" s="647" t="str">
        <f>IF(MASTER!K59="","",MASTER!K59)</f>
        <v/>
      </c>
      <c r="D26" s="648"/>
      <c r="E26" s="647" t="str">
        <f>IF(MASTER!M59="","",MASTER!M59)</f>
        <v/>
      </c>
      <c r="F26" s="648"/>
      <c r="G26" s="144"/>
      <c r="H26" s="222" t="str">
        <f>IF(AND(MASTER!N59="",MASTER!O59=""),"",(SUM(MASTER!N59:O59)))</f>
        <v/>
      </c>
    </row>
    <row r="27" spans="2:8" ht="22.5" customHeight="1" thickBot="1">
      <c r="B27" s="690" t="s">
        <v>197</v>
      </c>
      <c r="C27" s="691"/>
      <c r="D27" s="691"/>
      <c r="E27" s="691"/>
      <c r="F27" s="692"/>
      <c r="G27" s="226" t="s">
        <v>200</v>
      </c>
      <c r="H27" s="227">
        <f>SUM(H23:H26)</f>
        <v>0</v>
      </c>
    </row>
    <row r="28" spans="2:8" ht="24" customHeight="1" thickTop="1">
      <c r="B28" s="687" t="s">
        <v>9</v>
      </c>
      <c r="C28" s="688"/>
      <c r="D28" s="688"/>
      <c r="E28" s="688"/>
      <c r="F28" s="688"/>
      <c r="G28" s="688"/>
      <c r="H28" s="689"/>
    </row>
    <row r="29" spans="2:8" ht="21" customHeight="1">
      <c r="B29" s="652" t="s">
        <v>268</v>
      </c>
      <c r="C29" s="653"/>
      <c r="D29" s="653"/>
      <c r="E29" s="653"/>
      <c r="F29" s="653"/>
      <c r="G29" s="653"/>
      <c r="H29" s="654"/>
    </row>
    <row r="30" spans="2:8" ht="19.5" customHeight="1">
      <c r="B30" s="693" t="s">
        <v>263</v>
      </c>
      <c r="C30" s="694"/>
      <c r="D30" s="694"/>
      <c r="E30" s="163"/>
      <c r="F30" s="185"/>
      <c r="G30" s="185"/>
      <c r="H30" s="228"/>
    </row>
    <row r="31" spans="2:8" ht="27" customHeight="1">
      <c r="B31" s="164"/>
      <c r="C31" s="48"/>
      <c r="D31" s="48"/>
      <c r="E31" s="48"/>
      <c r="F31" s="653"/>
      <c r="G31" s="653"/>
      <c r="H31" s="654"/>
    </row>
    <row r="32" spans="2:8" ht="14.25" customHeight="1">
      <c r="B32" s="523" t="s">
        <v>72</v>
      </c>
      <c r="C32" s="524"/>
      <c r="D32" s="524"/>
      <c r="E32" s="10"/>
      <c r="F32" s="653" t="s">
        <v>21</v>
      </c>
      <c r="G32" s="653"/>
      <c r="H32" s="654"/>
    </row>
    <row r="33" spans="2:8" ht="18" customHeight="1">
      <c r="B33" s="685"/>
      <c r="C33" s="686"/>
      <c r="D33" s="686"/>
      <c r="E33" s="686"/>
      <c r="F33" s="663">
        <f>(MASTER!E8)</f>
        <v>0</v>
      </c>
      <c r="G33" s="663"/>
      <c r="H33" s="664"/>
    </row>
    <row r="34" spans="2:8" ht="18" customHeight="1">
      <c r="B34" s="684"/>
      <c r="C34" s="474"/>
      <c r="D34" s="474"/>
      <c r="E34" s="474"/>
      <c r="F34" s="663">
        <f>(MASTER!E9)</f>
        <v>0</v>
      </c>
      <c r="G34" s="663"/>
      <c r="H34" s="664"/>
    </row>
    <row r="35" spans="2:8" ht="18" customHeight="1">
      <c r="B35" s="684"/>
      <c r="C35" s="474"/>
      <c r="D35" s="474"/>
      <c r="E35" s="474"/>
      <c r="F35" s="663">
        <f>(MASTER!E10)</f>
        <v>0</v>
      </c>
      <c r="G35" s="663"/>
      <c r="H35" s="664"/>
    </row>
    <row r="36" spans="2:8" ht="18" customHeight="1">
      <c r="B36" s="684"/>
      <c r="C36" s="474"/>
      <c r="D36" s="474"/>
      <c r="E36" s="474"/>
      <c r="F36" s="663">
        <f>(MASTER!E11)</f>
        <v>0</v>
      </c>
      <c r="G36" s="663"/>
      <c r="H36" s="664"/>
    </row>
    <row r="37" spans="2:8" ht="15" customHeight="1" thickBot="1">
      <c r="B37" s="229"/>
      <c r="C37" s="230"/>
      <c r="D37" s="230"/>
      <c r="E37" s="230"/>
      <c r="F37" s="650"/>
      <c r="G37" s="650"/>
      <c r="H37" s="651"/>
    </row>
    <row r="38" spans="2:8" ht="15.75" thickTop="1"/>
  </sheetData>
  <sheetProtection password="8541" sheet="1" objects="1" scenarios="1"/>
  <mergeCells count="62">
    <mergeCell ref="F36:H36"/>
    <mergeCell ref="B36:E36"/>
    <mergeCell ref="B35:E35"/>
    <mergeCell ref="B34:E34"/>
    <mergeCell ref="C23:D23"/>
    <mergeCell ref="F34:H34"/>
    <mergeCell ref="F35:H35"/>
    <mergeCell ref="B33:E33"/>
    <mergeCell ref="B28:H28"/>
    <mergeCell ref="F32:H32"/>
    <mergeCell ref="F31:H31"/>
    <mergeCell ref="B27:F27"/>
    <mergeCell ref="B32:D32"/>
    <mergeCell ref="B30:D30"/>
    <mergeCell ref="C24:D24"/>
    <mergeCell ref="C25:D25"/>
    <mergeCell ref="C26:D26"/>
    <mergeCell ref="D18:F18"/>
    <mergeCell ref="D19:F19"/>
    <mergeCell ref="B18:C18"/>
    <mergeCell ref="B19:C19"/>
    <mergeCell ref="B20:F20"/>
    <mergeCell ref="E26:F26"/>
    <mergeCell ref="E23:F23"/>
    <mergeCell ref="B21:H21"/>
    <mergeCell ref="E22:F22"/>
    <mergeCell ref="G22:H22"/>
    <mergeCell ref="B9:F9"/>
    <mergeCell ref="B15:F15"/>
    <mergeCell ref="E7:F7"/>
    <mergeCell ref="C7:D7"/>
    <mergeCell ref="C8:D8"/>
    <mergeCell ref="E8:F8"/>
    <mergeCell ref="C12:D12"/>
    <mergeCell ref="C13:D13"/>
    <mergeCell ref="E13:F13"/>
    <mergeCell ref="F37:H37"/>
    <mergeCell ref="B29:H29"/>
    <mergeCell ref="B10:H10"/>
    <mergeCell ref="G11:H11"/>
    <mergeCell ref="B16:H16"/>
    <mergeCell ref="E11:F11"/>
    <mergeCell ref="E12:F12"/>
    <mergeCell ref="E14:F14"/>
    <mergeCell ref="E24:F24"/>
    <mergeCell ref="E25:F25"/>
    <mergeCell ref="F33:H33"/>
    <mergeCell ref="B17:C17"/>
    <mergeCell ref="C11:D11"/>
    <mergeCell ref="C14:D14"/>
    <mergeCell ref="D17:F17"/>
    <mergeCell ref="C22:D22"/>
    <mergeCell ref="B2:H2"/>
    <mergeCell ref="G3:H3"/>
    <mergeCell ref="E6:F6"/>
    <mergeCell ref="E3:F3"/>
    <mergeCell ref="E4:F4"/>
    <mergeCell ref="E5:F5"/>
    <mergeCell ref="C3:D3"/>
    <mergeCell ref="C4:D4"/>
    <mergeCell ref="C5:D5"/>
    <mergeCell ref="C6:D6"/>
  </mergeCells>
  <pageMargins left="0.59055118110236227" right="0.59055118110236227" top="0.59055118110236227" bottom="0.59055118110236227" header="0.39370078740157483" footer="0.39370078740157483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28"/>
  <sheetViews>
    <sheetView showGridLines="0" view="pageBreakPreview" zoomScaleSheetLayoutView="100" workbookViewId="0">
      <selection activeCell="M6" sqref="M6"/>
    </sheetView>
  </sheetViews>
  <sheetFormatPr defaultRowHeight="15"/>
  <cols>
    <col min="1" max="1" width="1.140625" style="25" customWidth="1"/>
    <col min="2" max="2" width="11.42578125" style="25" customWidth="1"/>
    <col min="3" max="3" width="9.42578125" style="25" customWidth="1"/>
    <col min="4" max="4" width="6.85546875" style="25" customWidth="1"/>
    <col min="5" max="5" width="9.140625" style="25" customWidth="1"/>
    <col min="6" max="6" width="7.42578125" style="25" customWidth="1"/>
    <col min="7" max="7" width="6" style="25" customWidth="1"/>
    <col min="8" max="8" width="6.5703125" style="25" customWidth="1"/>
    <col min="9" max="10" width="6.42578125" style="25" customWidth="1"/>
    <col min="11" max="11" width="7.140625" style="25" customWidth="1"/>
    <col min="12" max="12" width="7.42578125" style="25" customWidth="1"/>
    <col min="13" max="13" width="9.7109375" style="25" customWidth="1"/>
    <col min="14" max="14" width="8.5703125" style="25" customWidth="1"/>
    <col min="15" max="15" width="5.42578125" style="25" customWidth="1"/>
    <col min="16" max="16" width="5" style="25" customWidth="1"/>
    <col min="17" max="17" width="5.42578125" style="25" customWidth="1"/>
    <col min="18" max="20" width="8.28515625" style="25" customWidth="1"/>
    <col min="21" max="21" width="9.42578125" style="25" customWidth="1"/>
    <col min="22" max="22" width="9.28515625" style="25" customWidth="1"/>
    <col min="23" max="23" width="8.7109375" style="25" customWidth="1"/>
    <col min="24" max="24" width="8.7109375" style="25" hidden="1" customWidth="1"/>
    <col min="25" max="25" width="11" style="25" hidden="1" customWidth="1"/>
    <col min="26" max="26" width="9.42578125" style="25" hidden="1" customWidth="1"/>
    <col min="27" max="27" width="10.7109375" style="25" hidden="1" customWidth="1"/>
    <col min="28" max="30" width="9.140625" style="25" hidden="1" customWidth="1"/>
    <col min="31" max="16384" width="9.140625" style="25"/>
  </cols>
  <sheetData>
    <row r="1" spans="1:30" ht="8.25" customHeight="1" thickBot="1">
      <c r="A1" s="23"/>
      <c r="B1" s="24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0" ht="25.5" customHeight="1" thickTop="1" thickBot="1">
      <c r="A2" s="23"/>
      <c r="B2" s="568" t="s">
        <v>47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70"/>
      <c r="V2" s="26"/>
      <c r="W2" s="23"/>
      <c r="X2" s="23"/>
    </row>
    <row r="3" spans="1:30" ht="19.5" customHeight="1" thickTop="1">
      <c r="A3" s="23"/>
      <c r="B3" s="521" t="s">
        <v>13</v>
      </c>
      <c r="C3" s="522"/>
      <c r="D3" s="571">
        <f>MASTER!E8</f>
        <v>0</v>
      </c>
      <c r="E3" s="571"/>
      <c r="F3" s="571"/>
      <c r="G3" s="571"/>
      <c r="H3" s="522" t="s">
        <v>145</v>
      </c>
      <c r="I3" s="522"/>
      <c r="J3" s="572">
        <f>MASTER!E10</f>
        <v>0</v>
      </c>
      <c r="K3" s="572"/>
      <c r="L3" s="572"/>
      <c r="M3" s="572"/>
      <c r="N3" s="572"/>
      <c r="O3" s="572"/>
      <c r="P3" s="522" t="s">
        <v>146</v>
      </c>
      <c r="Q3" s="522"/>
      <c r="R3" s="522"/>
      <c r="S3" s="571">
        <f>MASTER!E12</f>
        <v>0</v>
      </c>
      <c r="T3" s="573"/>
      <c r="U3" s="574"/>
      <c r="V3" s="27"/>
      <c r="W3" s="23"/>
      <c r="X3" s="23"/>
    </row>
    <row r="4" spans="1:30" ht="17.25" customHeight="1" thickBot="1">
      <c r="A4" s="23"/>
      <c r="B4" s="584" t="s">
        <v>17</v>
      </c>
      <c r="C4" s="585"/>
      <c r="D4" s="576">
        <f>MASTER!E9</f>
        <v>0</v>
      </c>
      <c r="E4" s="576"/>
      <c r="F4" s="576"/>
      <c r="G4" s="576"/>
      <c r="H4" s="585" t="s">
        <v>16</v>
      </c>
      <c r="I4" s="585"/>
      <c r="J4" s="576">
        <f>MASTER!E11</f>
        <v>0</v>
      </c>
      <c r="K4" s="576"/>
      <c r="L4" s="576"/>
      <c r="M4" s="576"/>
      <c r="N4" s="576"/>
      <c r="O4" s="576"/>
      <c r="P4" s="585" t="s">
        <v>139</v>
      </c>
      <c r="Q4" s="585"/>
      <c r="R4" s="585"/>
      <c r="S4" s="576">
        <f>MASTER!E14</f>
        <v>0</v>
      </c>
      <c r="T4" s="577"/>
      <c r="U4" s="578"/>
      <c r="V4" s="28"/>
      <c r="W4" s="23"/>
      <c r="X4" s="23"/>
    </row>
    <row r="5" spans="1:30" ht="19.5" customHeight="1" thickTop="1" thickBot="1">
      <c r="A5" s="23"/>
      <c r="B5" s="587" t="s">
        <v>368</v>
      </c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9"/>
      <c r="N5" s="587" t="s">
        <v>0</v>
      </c>
      <c r="O5" s="588"/>
      <c r="P5" s="588"/>
      <c r="Q5" s="588"/>
      <c r="R5" s="588"/>
      <c r="S5" s="588"/>
      <c r="T5" s="588"/>
      <c r="U5" s="589"/>
      <c r="V5" s="582" t="s">
        <v>66</v>
      </c>
      <c r="W5" s="23"/>
      <c r="X5" s="23"/>
      <c r="Y5" s="330"/>
      <c r="Z5" s="330"/>
      <c r="AA5" s="330"/>
      <c r="AB5" s="330"/>
    </row>
    <row r="6" spans="1:30" ht="24" customHeight="1" thickTop="1" thickBot="1">
      <c r="A6" s="24"/>
      <c r="B6" s="29" t="s">
        <v>35</v>
      </c>
      <c r="C6" s="30" t="s">
        <v>113</v>
      </c>
      <c r="D6" s="30" t="s">
        <v>10</v>
      </c>
      <c r="E6" s="30" t="s">
        <v>6</v>
      </c>
      <c r="F6" s="30" t="s">
        <v>4</v>
      </c>
      <c r="G6" s="30" t="s">
        <v>5</v>
      </c>
      <c r="H6" s="30" t="str">
        <f>IF(ADJUST!I19="","CCA",ADJUST!I19)</f>
        <v>CCA</v>
      </c>
      <c r="I6" s="30" t="str">
        <f>IF(ADJUST!J19="","Oth. A",ADJUST!J19)</f>
        <v>Oth. A</v>
      </c>
      <c r="J6" s="30" t="str">
        <f>IF(ADJUST!K19="","Spl. A",ADJUST!K19)</f>
        <v>Spl. A</v>
      </c>
      <c r="K6" s="30" t="str">
        <f>IF(ADJUST!L19="","Con. A",ADJUST!L19)</f>
        <v>Con. A</v>
      </c>
      <c r="L6" s="30" t="s">
        <v>136</v>
      </c>
      <c r="M6" s="32" t="s">
        <v>11</v>
      </c>
      <c r="N6" s="33" t="str">
        <f>IF(MASTER!K20=1,"GPF","CPS")</f>
        <v>CPS</v>
      </c>
      <c r="O6" s="31" t="s">
        <v>2</v>
      </c>
      <c r="P6" s="31" t="s">
        <v>1</v>
      </c>
      <c r="Q6" s="34" t="s">
        <v>3</v>
      </c>
      <c r="R6" s="34" t="s">
        <v>127</v>
      </c>
      <c r="S6" s="34" t="str">
        <f>IF(ADJUST!T19="","PLI",ADJUST!T19)</f>
        <v>LIC</v>
      </c>
      <c r="T6" s="29" t="s">
        <v>46</v>
      </c>
      <c r="U6" s="32" t="s">
        <v>38</v>
      </c>
      <c r="V6" s="583"/>
      <c r="W6" s="24"/>
      <c r="X6" s="575" t="s">
        <v>67</v>
      </c>
      <c r="Y6" s="575"/>
      <c r="Z6" s="580" t="s">
        <v>68</v>
      </c>
      <c r="AA6" s="581"/>
      <c r="AB6" s="331" t="s">
        <v>200</v>
      </c>
      <c r="AC6" s="331" t="s">
        <v>365</v>
      </c>
      <c r="AD6" s="331" t="s">
        <v>364</v>
      </c>
    </row>
    <row r="7" spans="1:30" ht="19.5" customHeight="1" thickTop="1" thickBot="1">
      <c r="A7" s="23"/>
      <c r="B7" s="16" t="s">
        <v>51</v>
      </c>
      <c r="C7" s="35">
        <f>IF(ADJUST!D20="",AB7,ADJUST!D20)</f>
        <v>0</v>
      </c>
      <c r="D7" s="36" t="str">
        <f>IF(AND(ADJUST!E20="",MASTER!$K$9=""),"",IF(ADJUST!E20="",MASTER!$K$9,ADJUST!E20))</f>
        <v/>
      </c>
      <c r="E7" s="36">
        <f>IF(AND(ADJUST!F20="",C7=""),"",(IF(ADJUST!F20="",ROUND(SUM(C7*0.46),0),ADJUST!F20)))</f>
        <v>0</v>
      </c>
      <c r="F7" s="36">
        <f>IF(ADJUST!G20="",MASTER!$K$10,ADJUST!G20)</f>
        <v>0</v>
      </c>
      <c r="G7" s="36">
        <f>IF(ADJUST!H20="",MASTER!$K$11,ADJUST!H20)</f>
        <v>300</v>
      </c>
      <c r="H7" s="36" t="str">
        <f>IF(AND(ADJUST!I20="",MASTER!$K$12=""),"",IF(ADJUST!I20="",MASTER!$K$12,ADJUST!I20))</f>
        <v/>
      </c>
      <c r="I7" s="36" t="str">
        <f>IF(AND(ADJUST!J20="",MASTER!$K$13=""),"",IF(ADJUST!J20="",MASTER!$K$13,ADJUST!J20))</f>
        <v/>
      </c>
      <c r="J7" s="36" t="str">
        <f>IF(AND(ADJUST!K20="",MASTER!$K$14=""),"",IF(ADJUST!K20="",MASTER!$K$14,ADJUST!K20))</f>
        <v/>
      </c>
      <c r="K7" s="36" t="str">
        <f>IF(AND(ADJUST!L20="",MASTER!$K$15=""),"",IF(ADJUST!L20="",MASTER!$K$15,ADJUST!L20))</f>
        <v/>
      </c>
      <c r="L7" s="36" t="str">
        <f>IF(AND(ADJUST!M20="",MASTER!$K$16=""),"",IF(ADJUST!M20="",MASTER!$K$16,ADJUST!M20))</f>
        <v/>
      </c>
      <c r="M7" s="44">
        <f t="shared" ref="M7:M23" si="0">SUM(C7:L7)</f>
        <v>300</v>
      </c>
      <c r="N7" s="37">
        <f>IF(MASTER!$K$20=1,MASTER!G21,IF(ADJUST!O20="",(ROUND(SUM(C7+E7)*0.1,0)),ADJUST!O20))</f>
        <v>0</v>
      </c>
      <c r="O7" s="36">
        <f>IF(AND(ADJUST!P20="",MASTER!$K$21=""),"",IF(ADJUST!P20="",MASTER!$K$21,ADJUST!P20))</f>
        <v>110</v>
      </c>
      <c r="P7" s="36">
        <f>IF(AND(ADJUST!Q20="",MASTER!$K$22=""),"",IF(ADJUST!Q20="",MASTER!$K$22,ADJUST!Q20))</f>
        <v>70</v>
      </c>
      <c r="Q7" s="36">
        <f>IF(AND(ADJUST!R20="",MASTER!$K$23=""),"",IF(ADJUST!R20="",MASTER!$K$23,ADJUST!R20))</f>
        <v>300</v>
      </c>
      <c r="R7" s="36" t="str">
        <f>IF(AND(ADJUST!S20="",MASTER!$K$24="",MASTER!$K$25=""),"",IF(ADJUST!S20="",(SUM(MASTER!$K$24:$K$25)),ADJUST!S20))</f>
        <v/>
      </c>
      <c r="S7" s="41" t="str">
        <f>IF(AND(ADJUST!T20="",MASTER!$K$26=""),"",IF(ADJUST!T20="",MASTER!$K$26,ADJUST!T20))</f>
        <v/>
      </c>
      <c r="T7" s="317" t="str">
        <f>IF(AND(ADJUST!U20="",ADJUST!V20="",MASTER!E21=0,MASTER!F21=0),"",IF(AND(ADJUST!U20="",ADJUST!V20=""),SUM(MASTER!E21+MASTER!F21),SUM(ADJUST!U20+ADJUST!V20)))</f>
        <v/>
      </c>
      <c r="U7" s="44">
        <f>SUM(N7:T7)</f>
        <v>480</v>
      </c>
      <c r="V7" s="44">
        <f t="shared" ref="V7:V24" si="1">SUM(M7-U7)</f>
        <v>-180</v>
      </c>
      <c r="W7" s="23"/>
      <c r="X7" s="331">
        <f>MASTER!K8</f>
        <v>0</v>
      </c>
      <c r="Y7" s="331"/>
      <c r="Z7" s="331"/>
      <c r="AA7" s="331"/>
      <c r="AB7" s="331">
        <f t="shared" ref="AB7:AB18" si="2">SUM(X7:AA7)</f>
        <v>0</v>
      </c>
      <c r="AC7" s="331">
        <f>ROUND(SUM(AB7*0.04),0)</f>
        <v>0</v>
      </c>
      <c r="AD7" s="331">
        <f>ROUND(AC7*0.1,0)</f>
        <v>0</v>
      </c>
    </row>
    <row r="8" spans="1:30" ht="19.5" customHeight="1" thickTop="1" thickBot="1">
      <c r="A8" s="23"/>
      <c r="B8" s="17" t="s">
        <v>52</v>
      </c>
      <c r="C8" s="35">
        <f>IF(ADJUST!D21="",AB8,ADJUST!D21)</f>
        <v>0</v>
      </c>
      <c r="D8" s="36" t="str">
        <f>IF(AND(ADJUST!E21="",MASTER!$K$9=""),"",IF(ADJUST!E21="",MASTER!$K$9,ADJUST!E21))</f>
        <v/>
      </c>
      <c r="E8" s="36">
        <f>IF(AND(ADJUST!F21="",C8=""),"",IF(ADJUST!F21="",IF(OR(MASTER!$K$29=4),(ROUND(SUM(C8*0.5),0)),(ROUND(SUM(C8*0.46),0))),ADJUST!F21))</f>
        <v>0</v>
      </c>
      <c r="F8" s="38">
        <f>IF(ADJUST!G21="",IF(MASTER!$O$10=4,MASTER!$O$11,IF(MASTER!$O$22=4,MASTER!$O$23,F7)),ADJUST!G21)</f>
        <v>0</v>
      </c>
      <c r="G8" s="36">
        <f>IF(ADJUST!H21="",MASTER!$K$11,ADJUST!H21)</f>
        <v>300</v>
      </c>
      <c r="H8" s="36" t="str">
        <f>IF(AND(ADJUST!I21="",MASTER!$K$12=""),"",IF(ADJUST!I21="",MASTER!$K$12,ADJUST!I21))</f>
        <v/>
      </c>
      <c r="I8" s="36" t="str">
        <f>IF(AND(ADJUST!J21="",MASTER!$K$13=""),"",IF(ADJUST!J21="",MASTER!$K$13,ADJUST!J21))</f>
        <v/>
      </c>
      <c r="J8" s="36" t="str">
        <f>IF(AND(ADJUST!K21="",MASTER!$K$14=""),"",IF(ADJUST!K21="",MASTER!$K$14,ADJUST!K21))</f>
        <v/>
      </c>
      <c r="K8" s="36" t="str">
        <f>IF(AND(ADJUST!L21="",MASTER!$K$15=""),"",IF(ADJUST!L21="",MASTER!$K$15,ADJUST!L21))</f>
        <v/>
      </c>
      <c r="L8" s="36" t="str">
        <f>IF(AND(ADJUST!M21="",MASTER!$K$16=""),"",IF(ADJUST!M21="",MASTER!$K$16,ADJUST!M21))</f>
        <v/>
      </c>
      <c r="M8" s="44">
        <f t="shared" si="0"/>
        <v>300</v>
      </c>
      <c r="N8" s="37">
        <f>IF(MASTER!$K$20=1,MASTER!G22,IF(ADJUST!O21="",(ROUND(SUM(C8+E8)*0.1,0)),ADJUST!O21))</f>
        <v>0</v>
      </c>
      <c r="O8" s="36">
        <f>IF(AND(ADJUST!P21="",MASTER!$K$21=""),"",IF(ADJUST!P21="",MASTER!$K$21,ADJUST!P21))</f>
        <v>110</v>
      </c>
      <c r="P8" s="36">
        <f>IF(AND(ADJUST!Q21="",MASTER!$K$22=""),"",IF(ADJUST!Q21="",MASTER!$K$22,ADJUST!Q21))</f>
        <v>70</v>
      </c>
      <c r="Q8" s="36">
        <f>IF(AND(ADJUST!R21="",MASTER!$K$23=""),"",IF(ADJUST!R21="",MASTER!$K$23,ADJUST!R21))</f>
        <v>300</v>
      </c>
      <c r="R8" s="36" t="str">
        <f>IF(AND(ADJUST!S21="",MASTER!$K$24="",MASTER!$K$25=""),"",IF(ADJUST!S21="",(SUM(MASTER!$K$24:$K$25)),ADJUST!S21))</f>
        <v/>
      </c>
      <c r="S8" s="41" t="str">
        <f>IF(AND(ADJUST!T21="",MASTER!$K$26=""),"",IF(ADJUST!T21="",MASTER!$K$26,ADJUST!T21))</f>
        <v/>
      </c>
      <c r="T8" s="316" t="str">
        <f>IF(AND(ADJUST!U21="",ADJUST!V21="",MASTER!E22=0,MASTER!F22=0),"",IF(AND(ADJUST!U21="",ADJUST!V21=""),SUM(MASTER!E22+MASTER!F22),SUM(ADJUST!U21+ADJUST!V21)))</f>
        <v/>
      </c>
      <c r="U8" s="44">
        <f t="shared" ref="U8:U24" si="3">SUM(N8:T8)</f>
        <v>480</v>
      </c>
      <c r="V8" s="44">
        <f t="shared" si="1"/>
        <v>-180</v>
      </c>
      <c r="W8" s="23"/>
      <c r="X8" s="331">
        <f>MASTER!K8</f>
        <v>0</v>
      </c>
      <c r="Y8" s="331">
        <f>IF(MASTER!$O$8=4,(ROUND(SUM(AB7*0.03),-2)),AG7)</f>
        <v>0</v>
      </c>
      <c r="Z8" s="331">
        <f>IF(MASTER!$O$20=4,ROUND((X8+Y8)*0.03,-2),AH7)</f>
        <v>0</v>
      </c>
      <c r="AA8" s="331">
        <f>IF(MASTER!$O$20=4,ROUND((X8+Y8+Z8)*0.03,-2),AI7)</f>
        <v>0</v>
      </c>
      <c r="AB8" s="331">
        <f t="shared" si="2"/>
        <v>0</v>
      </c>
      <c r="AC8" s="331">
        <f t="shared" ref="AC8:AC10" si="4">ROUND(SUM(AB8*0.04),0)</f>
        <v>0</v>
      </c>
      <c r="AD8" s="331">
        <f t="shared" ref="AD8:AD18" si="5">ROUND(AC8*0.1,0)</f>
        <v>0</v>
      </c>
    </row>
    <row r="9" spans="1:30" ht="19.5" customHeight="1" thickTop="1" thickBot="1">
      <c r="A9" s="23"/>
      <c r="B9" s="17" t="s">
        <v>53</v>
      </c>
      <c r="C9" s="35">
        <f>IF(ADJUST!D22="",AB9,ADJUST!D22)</f>
        <v>0</v>
      </c>
      <c r="D9" s="36" t="str">
        <f>IF(AND(ADJUST!E22="",MASTER!$K$9=""),"",IF(ADJUST!E22="",MASTER!$K$9,ADJUST!E22))</f>
        <v/>
      </c>
      <c r="E9" s="36">
        <f>IF(AND(ADJUST!F22="",C9=""),"",IF(ADJUST!F22="",IF(OR(MASTER!$K$29=4,MASTER!$K$29=5),(ROUND(SUM(C9*0.5),0)),(ROUND(SUM(C9*0.46),0))),ADJUST!F22))</f>
        <v>0</v>
      </c>
      <c r="F9" s="38">
        <f>IF(ADJUST!G22="",IF(MASTER!$O$10=5,MASTER!$O$11,IF(MASTER!$O$22=5,MASTER!$O$23,F8)),ADJUST!G22)</f>
        <v>0</v>
      </c>
      <c r="G9" s="36">
        <f>IF(ADJUST!H22="",MASTER!$K$11,ADJUST!H22)</f>
        <v>300</v>
      </c>
      <c r="H9" s="36" t="str">
        <f>IF(AND(ADJUST!I22="",MASTER!$K$12=""),"",IF(ADJUST!I22="",MASTER!$K$12,ADJUST!I22))</f>
        <v/>
      </c>
      <c r="I9" s="36" t="str">
        <f>IF(AND(ADJUST!J22="",MASTER!$K$13=""),"",IF(ADJUST!J22="",MASTER!$K$13,ADJUST!J22))</f>
        <v/>
      </c>
      <c r="J9" s="36" t="str">
        <f>IF(AND(ADJUST!K22="",MASTER!$K$14=""),"",IF(ADJUST!K22="",MASTER!$K$14,ADJUST!K22))</f>
        <v/>
      </c>
      <c r="K9" s="36" t="str">
        <f>IF(AND(ADJUST!L22="",MASTER!$K$15=""),"",IF(ADJUST!L22="",MASTER!$K$15,ADJUST!L22))</f>
        <v/>
      </c>
      <c r="L9" s="36" t="str">
        <f>IF(AND(ADJUST!M22="",MASTER!$K$16=""),"",IF(ADJUST!M22="",MASTER!$K$16,ADJUST!M22))</f>
        <v/>
      </c>
      <c r="M9" s="44">
        <f t="shared" si="0"/>
        <v>300</v>
      </c>
      <c r="N9" s="37">
        <f>IF(MASTER!$K$20=1,MASTER!G23,IF(ADJUST!O22="",(ROUND(SUM(C9+E9)*0.1,0)),ADJUST!O22))</f>
        <v>0</v>
      </c>
      <c r="O9" s="36">
        <f>IF(AND(ADJUST!P22="",MASTER!$K$21=""),"",IF(ADJUST!P22="",MASTER!$K$21,ADJUST!P22))</f>
        <v>110</v>
      </c>
      <c r="P9" s="36">
        <f>IF(AND(ADJUST!Q22="",MASTER!$K$22=""),"",IF(ADJUST!Q22="",MASTER!$K$22,ADJUST!Q22))</f>
        <v>70</v>
      </c>
      <c r="Q9" s="36">
        <f>IF(AND(ADJUST!R22="",MASTER!$K$23=""),"",IF(ADJUST!R22="",MASTER!$K$23,ADJUST!R22))</f>
        <v>300</v>
      </c>
      <c r="R9" s="36" t="str">
        <f>IF(AND(ADJUST!S22="",MASTER!$K$24="",MASTER!$K$25=""),"",IF(ADJUST!S22="",(SUM(MASTER!$K$24:$K$25)),ADJUST!S22))</f>
        <v/>
      </c>
      <c r="S9" s="41" t="str">
        <f>IF(AND(ADJUST!T22="",MASTER!$K$26=""),"",IF(ADJUST!T22="",MASTER!$K$26,ADJUST!T22))</f>
        <v/>
      </c>
      <c r="T9" s="316" t="str">
        <f>IF(AND(ADJUST!U22="",ADJUST!V22="",MASTER!E23=0,MASTER!F23=0),"",IF(AND(ADJUST!U22="",ADJUST!V22=""),SUM(MASTER!E23+MASTER!F23),SUM(ADJUST!U22+ADJUST!V22)))</f>
        <v/>
      </c>
      <c r="U9" s="44">
        <f t="shared" si="3"/>
        <v>480</v>
      </c>
      <c r="V9" s="44">
        <f t="shared" si="1"/>
        <v>-180</v>
      </c>
      <c r="W9" s="23"/>
      <c r="X9" s="331">
        <f>MASTER!K8</f>
        <v>0</v>
      </c>
      <c r="Y9" s="331">
        <f>IF(MASTER!$O$8=5,(ROUND(SUM(AB8*0.03),-2)),Y8)</f>
        <v>0</v>
      </c>
      <c r="Z9" s="331">
        <f>IF(MASTER!$O$20=5,ROUND((X9+Y9)*0.03,-2),Z8)</f>
        <v>0</v>
      </c>
      <c r="AA9" s="331">
        <f>IF(MASTER!$O$20=5,ROUND((X9+Y9+Z9)*0.03,-2),AA8)</f>
        <v>0</v>
      </c>
      <c r="AB9" s="331">
        <f t="shared" si="2"/>
        <v>0</v>
      </c>
      <c r="AC9" s="331">
        <f t="shared" si="4"/>
        <v>0</v>
      </c>
      <c r="AD9" s="331">
        <f t="shared" si="5"/>
        <v>0</v>
      </c>
    </row>
    <row r="10" spans="1:30" ht="19.5" customHeight="1" thickTop="1" thickBot="1">
      <c r="A10" s="23"/>
      <c r="B10" s="17" t="s">
        <v>54</v>
      </c>
      <c r="C10" s="35">
        <f>IF(ADJUST!D23="",AB10,ADJUST!D23)</f>
        <v>0</v>
      </c>
      <c r="D10" s="36" t="str">
        <f>IF(AND(ADJUST!E23="",MASTER!$K$9=""),"",IF(ADJUST!E23="",MASTER!$K$9,ADJUST!E23))</f>
        <v/>
      </c>
      <c r="E10" s="36">
        <f>IF(AND(ADJUST!F23="",C10=""),"",IF(ADJUST!F23="",IF(OR(MASTER!$K$29=4,MASTER!$K$29=5,MASTER!$K$29=6),(ROUND(SUM(C10*0.5),0)),(ROUND(SUM(C10*0.46),0))),ADJUST!F23))</f>
        <v>0</v>
      </c>
      <c r="F10" s="38">
        <f>IF(ADJUST!G23="",IF(MASTER!$O$10=6,MASTER!$O$11,IF(MASTER!$O$22=6,MASTER!$O$23,F9)),ADJUST!G23)</f>
        <v>0</v>
      </c>
      <c r="G10" s="36">
        <f>IF(ADJUST!H23="",MASTER!$K$11,ADJUST!H23)</f>
        <v>300</v>
      </c>
      <c r="H10" s="36" t="str">
        <f>IF(AND(ADJUST!I23="",MASTER!$K$12=""),"",IF(ADJUST!I23="",MASTER!$K$12,ADJUST!I23))</f>
        <v/>
      </c>
      <c r="I10" s="36" t="str">
        <f>IF(AND(ADJUST!J23="",MASTER!$K$13=""),"",IF(ADJUST!J23="",MASTER!$K$13,ADJUST!J23))</f>
        <v/>
      </c>
      <c r="J10" s="36" t="str">
        <f>IF(AND(ADJUST!K23="",MASTER!$K$14=""),"",IF(ADJUST!K23="",MASTER!$K$14,ADJUST!K23))</f>
        <v/>
      </c>
      <c r="K10" s="36" t="str">
        <f>IF(AND(ADJUST!L23="",MASTER!$K$15=""),"",IF(ADJUST!L23="",MASTER!$K$15,ADJUST!L23))</f>
        <v/>
      </c>
      <c r="L10" s="36" t="str">
        <f>IF(AND(ADJUST!M23="",MASTER!$K$16=""),"",IF(ADJUST!M23="",MASTER!$K$16,ADJUST!M23))</f>
        <v/>
      </c>
      <c r="M10" s="44">
        <f t="shared" si="0"/>
        <v>300</v>
      </c>
      <c r="N10" s="37">
        <f>IF(MASTER!$K$20=1,MASTER!G24,IF(ADJUST!O23="",(ROUND(SUM(C10+E10)*0.1,0)),ADJUST!O23))</f>
        <v>0</v>
      </c>
      <c r="O10" s="36">
        <f>IF(AND(ADJUST!P23="",MASTER!$K$21=""),"",IF(ADJUST!P23="",MASTER!$K$21,ADJUST!P23))</f>
        <v>110</v>
      </c>
      <c r="P10" s="36">
        <f>IF(AND(ADJUST!Q23="",MASTER!$K$22=""),"",IF(ADJUST!Q23="",MASTER!$K$22,ADJUST!Q23))</f>
        <v>70</v>
      </c>
      <c r="Q10" s="36">
        <f>IF(AND(ADJUST!R23="",MASTER!$K$23=""),"",IF(ADJUST!R23="",MASTER!$K$23,ADJUST!R23))</f>
        <v>300</v>
      </c>
      <c r="R10" s="36" t="str">
        <f>IF(AND(ADJUST!S23="",MASTER!$K$24="",MASTER!$K$25=""),"",IF(ADJUST!S23="",(SUM(MASTER!$K$24:$K$25)),ADJUST!S23))</f>
        <v/>
      </c>
      <c r="S10" s="41" t="str">
        <f>IF(AND(ADJUST!T23="",MASTER!$K$26=""),"",IF(ADJUST!T23="",MASTER!$K$26,ADJUST!T23))</f>
        <v/>
      </c>
      <c r="T10" s="316" t="str">
        <f>IF(AND(ADJUST!U23="",ADJUST!V23="",MASTER!E24=0,MASTER!F24=0),"",IF(AND(ADJUST!U23="",ADJUST!V23=""),SUM(MASTER!E24+MASTER!F24),SUM(ADJUST!U23+ADJUST!V23)))</f>
        <v/>
      </c>
      <c r="U10" s="44">
        <f t="shared" si="3"/>
        <v>480</v>
      </c>
      <c r="V10" s="44">
        <f t="shared" si="1"/>
        <v>-180</v>
      </c>
      <c r="W10" s="23"/>
      <c r="X10" s="331">
        <f>MASTER!K8</f>
        <v>0</v>
      </c>
      <c r="Y10" s="331">
        <f>IF(MASTER!$O$8=6,(ROUND(SUM(AB9*0.03),-2)),Y9)</f>
        <v>0</v>
      </c>
      <c r="Z10" s="331">
        <f>IF(MASTER!$O$20=6,ROUND((X10+Y10)*0.03,-2),Z9)</f>
        <v>0</v>
      </c>
      <c r="AA10" s="331">
        <f>IF(MASTER!$O$20=6,ROUND((X10+Y10+Z10)*0.03,-2),AA9)</f>
        <v>0</v>
      </c>
      <c r="AB10" s="331">
        <f t="shared" si="2"/>
        <v>0</v>
      </c>
      <c r="AC10" s="331">
        <f t="shared" si="4"/>
        <v>0</v>
      </c>
      <c r="AD10" s="331">
        <f t="shared" si="5"/>
        <v>0</v>
      </c>
    </row>
    <row r="11" spans="1:30" ht="19.5" customHeight="1" thickTop="1" thickBot="1">
      <c r="A11" s="23"/>
      <c r="B11" s="17" t="s">
        <v>55</v>
      </c>
      <c r="C11" s="35">
        <f>IF(ADJUST!D24="",AB11,ADJUST!D24)</f>
        <v>0</v>
      </c>
      <c r="D11" s="36" t="str">
        <f>IF(AND(ADJUST!E24="",MASTER!$K$9=""),"",IF(ADJUST!E24="",MASTER!$K$9,ADJUST!E24))</f>
        <v/>
      </c>
      <c r="E11" s="36">
        <f>IF(AND(ADJUST!F24="",C11=""),"",IF(ADJUST!F24="",IF(OR(MASTER!$K$29=4,MASTER!$K$29=5,MASTER!$K$29=6,MASTER!$K$29=7),(ROUND(SUM(C11*0.5),0)),(ROUND(SUM(C11*0.46),0))),ADJUST!F24))</f>
        <v>0</v>
      </c>
      <c r="F11" s="38">
        <f>IF(ADJUST!G24="",IF(MASTER!$O$10=7,MASTER!$O$11,IF(MASTER!$O$22=7,MASTER!$O$23,F10)),ADJUST!G24)</f>
        <v>0</v>
      </c>
      <c r="G11" s="36">
        <f>IF(ADJUST!H24="",MASTER!$K$11,ADJUST!H24)</f>
        <v>300</v>
      </c>
      <c r="H11" s="36" t="str">
        <f>IF(AND(ADJUST!I24="",MASTER!$K$12=""),"",IF(ADJUST!I24="",MASTER!$K$12,ADJUST!I24))</f>
        <v/>
      </c>
      <c r="I11" s="36" t="str">
        <f>IF(AND(ADJUST!J24="",MASTER!$K$13=""),"",IF(ADJUST!J24="",MASTER!$K$13,ADJUST!J24))</f>
        <v/>
      </c>
      <c r="J11" s="36" t="str">
        <f>IF(AND(ADJUST!K24="",MASTER!$K$14=""),"",IF(ADJUST!K24="",MASTER!$K$14,ADJUST!K24))</f>
        <v/>
      </c>
      <c r="K11" s="36" t="str">
        <f>IF(AND(ADJUST!L24="",MASTER!$K$15=""),"",IF(ADJUST!L24="",MASTER!$K$15,ADJUST!L24))</f>
        <v/>
      </c>
      <c r="L11" s="36" t="str">
        <f>IF(AND(ADJUST!M24="",MASTER!$K$16=""),"",IF(ADJUST!M24="",MASTER!$K$16,ADJUST!M24))</f>
        <v/>
      </c>
      <c r="M11" s="44">
        <f t="shared" si="0"/>
        <v>300</v>
      </c>
      <c r="N11" s="37">
        <f>IF(MASTER!$K$20=1,MASTER!G25,IF(ADJUST!O24="",(ROUND(SUM(C11+E11)*0.1,0)),ADJUST!O24))</f>
        <v>0</v>
      </c>
      <c r="O11" s="36">
        <f>IF(AND(ADJUST!P24="",MASTER!$K$21=""),"",IF(ADJUST!P24="",MASTER!$K$21,ADJUST!P24))</f>
        <v>110</v>
      </c>
      <c r="P11" s="36">
        <f>IF(AND(ADJUST!Q24="",MASTER!$K$22=""),"",IF(ADJUST!Q24="",MASTER!$K$22,ADJUST!Q24))</f>
        <v>70</v>
      </c>
      <c r="Q11" s="36">
        <f>IF(AND(ADJUST!R24="",MASTER!$K$23=""),"",IF(ADJUST!R24="",MASTER!$K$23,ADJUST!R24))</f>
        <v>300</v>
      </c>
      <c r="R11" s="36" t="str">
        <f>IF(AND(ADJUST!S24="",MASTER!$K$24="",MASTER!$K$25=""),"",IF(ADJUST!S24="",(SUM(MASTER!$K$24:$K$25)),ADJUST!S24))</f>
        <v/>
      </c>
      <c r="S11" s="41" t="str">
        <f>IF(AND(ADJUST!T24="",MASTER!$K$26=""),"",IF(ADJUST!T24="",MASTER!$K$26,ADJUST!T24))</f>
        <v/>
      </c>
      <c r="T11" s="316" t="str">
        <f>IF(AND(ADJUST!U24="",ADJUST!V24="",MASTER!E25=0,MASTER!F25=0),"",IF(AND(ADJUST!U24="",ADJUST!V24=""),SUM(MASTER!E25+MASTER!F25),SUM(ADJUST!U24+ADJUST!V24)))</f>
        <v/>
      </c>
      <c r="U11" s="44">
        <f t="shared" si="3"/>
        <v>480</v>
      </c>
      <c r="V11" s="44">
        <f t="shared" si="1"/>
        <v>-180</v>
      </c>
      <c r="W11" s="23"/>
      <c r="X11" s="331">
        <f>MASTER!K8</f>
        <v>0</v>
      </c>
      <c r="Y11" s="331">
        <f>IF(MASTER!$O$8=7,(ROUND(SUM(AB10*0.03),-2)),Y10)</f>
        <v>0</v>
      </c>
      <c r="Z11" s="331">
        <f>IF(MASTER!$O$20=7,ROUND((X11+Y11)*0.03,-2),Z10)</f>
        <v>0</v>
      </c>
      <c r="AA11" s="331">
        <f>IF(MASTER!$O$20=7,ROUND((X11+Y11+Z11)*0.03,-2),AA10)</f>
        <v>0</v>
      </c>
      <c r="AB11" s="331">
        <f t="shared" si="2"/>
        <v>0</v>
      </c>
      <c r="AC11" s="331">
        <f>ROUND(SUM(AB11*0.03),0)</f>
        <v>0</v>
      </c>
      <c r="AD11" s="331">
        <f t="shared" si="5"/>
        <v>0</v>
      </c>
    </row>
    <row r="12" spans="1:30" ht="19.5" customHeight="1" thickTop="1" thickBot="1">
      <c r="A12" s="23"/>
      <c r="B12" s="17" t="s">
        <v>50</v>
      </c>
      <c r="C12" s="35">
        <f>IF(ADJUST!D25="",AB12,ADJUST!D25)</f>
        <v>0</v>
      </c>
      <c r="D12" s="36" t="str">
        <f>IF(AND(ADJUST!E25="",MASTER!$K$9=""),"",IF(ADJUST!E25="",MASTER!$K$9,ADJUST!E25))</f>
        <v/>
      </c>
      <c r="E12" s="36">
        <f>IF(AND(ADJUST!F25="",C12=""),"",IF(ADJUST!F25="",IF(OR(MASTER!$K$29=4,MASTER!$K$29=5,MASTER!$K$29=6,MASTER!$K$29=7,MASTER!$K$29=8),(ROUND(SUM(C12*0.5),0)),(ROUND(SUM(C12*0.46),0))),ADJUST!F25))</f>
        <v>0</v>
      </c>
      <c r="F12" s="38">
        <f>IF(ADJUST!G25="",IF(MASTER!$O$10=8,MASTER!$O$11,IF(MASTER!$O$22=8,MASTER!$O$23,F11)),ADJUST!G25)</f>
        <v>0</v>
      </c>
      <c r="G12" s="36">
        <f>IF(ADJUST!H25="",MASTER!$K$11,ADJUST!H25)</f>
        <v>300</v>
      </c>
      <c r="H12" s="36" t="str">
        <f>IF(AND(ADJUST!I25="",MASTER!$K$12=""),"",IF(ADJUST!I25="",MASTER!$K$12,ADJUST!I25))</f>
        <v/>
      </c>
      <c r="I12" s="36" t="str">
        <f>IF(AND(ADJUST!J25="",MASTER!$K$13=""),"",IF(ADJUST!J25="",MASTER!$K$13,ADJUST!J25))</f>
        <v/>
      </c>
      <c r="J12" s="36" t="str">
        <f>IF(AND(ADJUST!K25="",MASTER!$K$14=""),"",IF(ADJUST!K25="",MASTER!$K$14,ADJUST!K25))</f>
        <v/>
      </c>
      <c r="K12" s="36" t="str">
        <f>IF(AND(ADJUST!L25="",MASTER!$K$15=""),"",IF(ADJUST!L25="",MASTER!$K$15,ADJUST!L25))</f>
        <v/>
      </c>
      <c r="L12" s="36" t="str">
        <f>IF(AND(ADJUST!M25="",MASTER!$K$16=""),"",IF(ADJUST!M25="",MASTER!$K$16,ADJUST!M25))</f>
        <v/>
      </c>
      <c r="M12" s="44">
        <f t="shared" si="0"/>
        <v>300</v>
      </c>
      <c r="N12" s="37">
        <f>IF(MASTER!$K$20=1,MASTER!G26,IF(ADJUST!O25="",(ROUND(SUM(C12+E12)*0.1,0)),ADJUST!O25))</f>
        <v>0</v>
      </c>
      <c r="O12" s="36">
        <f>IF(AND(ADJUST!P25="",MASTER!$K$21=""),"",IF(ADJUST!P25="",MASTER!$K$21,ADJUST!P25))</f>
        <v>110</v>
      </c>
      <c r="P12" s="36">
        <f>IF(AND(ADJUST!Q25="",MASTER!$K$22=""),"",IF(ADJUST!Q25="",MASTER!$K$22,ADJUST!Q25))</f>
        <v>70</v>
      </c>
      <c r="Q12" s="36">
        <f>IF(AND(ADJUST!R25="",MASTER!$K$23=""),"",IF(ADJUST!R25="",MASTER!$K$23,ADJUST!R25))</f>
        <v>300</v>
      </c>
      <c r="R12" s="36" t="str">
        <f>IF(AND(ADJUST!S25="",MASTER!$K$24="",MASTER!$K$25=""),"",IF(ADJUST!S25="",(SUM(MASTER!$K$24:$K$25)),ADJUST!S25))</f>
        <v/>
      </c>
      <c r="S12" s="41" t="str">
        <f>IF(AND(ADJUST!T25="",MASTER!$K$26=""),"",IF(ADJUST!T25="",MASTER!$K$26,ADJUST!T25))</f>
        <v/>
      </c>
      <c r="T12" s="316" t="str">
        <f>IF(AND(ADJUST!U25="",ADJUST!V25="",MASTER!E26=0,MASTER!F26=0),"",IF(AND(ADJUST!U25="",ADJUST!V25=""),SUM(MASTER!E26+MASTER!F26),SUM(ADJUST!U25+ADJUST!V25)))</f>
        <v/>
      </c>
      <c r="U12" s="44">
        <f t="shared" si="3"/>
        <v>480</v>
      </c>
      <c r="V12" s="44">
        <f t="shared" si="1"/>
        <v>-180</v>
      </c>
      <c r="W12" s="23"/>
      <c r="X12" s="331">
        <f>MASTER!K8</f>
        <v>0</v>
      </c>
      <c r="Y12" s="331">
        <f>IF(MASTER!$O$8=8,(ROUND(SUM(AB11*0.03),-2)),Y11)</f>
        <v>0</v>
      </c>
      <c r="Z12" s="331">
        <f>IF(MASTER!$O$20=8,ROUND((X12+Y12)*0.03,-2),Z11)</f>
        <v>0</v>
      </c>
      <c r="AA12" s="331">
        <f>IF(MASTER!$O$20=8,ROUND((X12+Y12+Z12)*0.03,-2),AA11)</f>
        <v>0</v>
      </c>
      <c r="AB12" s="331">
        <f t="shared" si="2"/>
        <v>0</v>
      </c>
      <c r="AC12" s="331">
        <f t="shared" ref="AC12:AC18" si="6">ROUND(SUM(AB12*0.03),0)</f>
        <v>0</v>
      </c>
      <c r="AD12" s="331">
        <f t="shared" si="5"/>
        <v>0</v>
      </c>
    </row>
    <row r="13" spans="1:30" ht="19.5" customHeight="1" thickTop="1" thickBot="1">
      <c r="A13" s="23"/>
      <c r="B13" s="17" t="s">
        <v>56</v>
      </c>
      <c r="C13" s="35">
        <f>IF(ADJUST!D26="",AB13,ADJUST!D26)</f>
        <v>0</v>
      </c>
      <c r="D13" s="36" t="str">
        <f>IF(AND(ADJUST!E26="",MASTER!$K$9=""),"",IF(ADJUST!E26="",MASTER!$K$9,ADJUST!E26))</f>
        <v/>
      </c>
      <c r="E13" s="36">
        <f>IF(AND(ADJUST!F26="",C13=""),"",IF(ADJUST!F26="",IF(OR(MASTER!$K$29=4,MASTER!$K$29=5,MASTER!$K$29=6,MASTER!$K$29=7,MASTER!$K$29=8,MASTER!$K$29=9),(ROUND(SUM(C13*0.5),0)),(ROUND(SUM(C13*0.46),0))),ADJUST!F26))</f>
        <v>0</v>
      </c>
      <c r="F13" s="38">
        <f>IF(ADJUST!G26="",IF(MASTER!$O$10=9,MASTER!$O$11,IF(MASTER!$O$22=9,MASTER!$O$23,F12)),ADJUST!G26)</f>
        <v>0</v>
      </c>
      <c r="G13" s="36">
        <f>IF(ADJUST!H26="",MASTER!$K$11,ADJUST!H26)</f>
        <v>300</v>
      </c>
      <c r="H13" s="36" t="str">
        <f>IF(AND(ADJUST!I26="",MASTER!$K$12=""),"",IF(ADJUST!I26="",MASTER!$K$12,ADJUST!I26))</f>
        <v/>
      </c>
      <c r="I13" s="36" t="str">
        <f>IF(AND(ADJUST!J26="",MASTER!$K$13=""),"",IF(ADJUST!J26="",MASTER!$K$13,ADJUST!J26))</f>
        <v/>
      </c>
      <c r="J13" s="36" t="str">
        <f>IF(AND(ADJUST!K26="",MASTER!$K$14=""),"",IF(ADJUST!K26="",MASTER!$K$14,ADJUST!K26))</f>
        <v/>
      </c>
      <c r="K13" s="36" t="str">
        <f>IF(AND(ADJUST!L26="",MASTER!$K$15=""),"",IF(ADJUST!L26="",MASTER!$K$15,ADJUST!L26))</f>
        <v/>
      </c>
      <c r="L13" s="36" t="str">
        <f>IF(AND(ADJUST!M26="",MASTER!$K$16=""),"",IF(ADJUST!M26="",MASTER!$K$16,ADJUST!M26))</f>
        <v/>
      </c>
      <c r="M13" s="44">
        <f t="shared" si="0"/>
        <v>300</v>
      </c>
      <c r="N13" s="37">
        <f>IF(MASTER!$K$20=1,MASTER!G27,IF(ADJUST!O26="",(ROUND(SUM(C13+E13)*0.1,0)),ADJUST!O26))</f>
        <v>0</v>
      </c>
      <c r="O13" s="36">
        <f>IF(AND(ADJUST!P26="",MASTER!$K$21=""),"",IF(ADJUST!P26="",MASTER!$K$21,ADJUST!P26))</f>
        <v>110</v>
      </c>
      <c r="P13" s="36">
        <f>IF(AND(ADJUST!Q26="",MASTER!$K$22=""),"",IF(ADJUST!Q26="",MASTER!$K$22,ADJUST!Q26))</f>
        <v>70</v>
      </c>
      <c r="Q13" s="36">
        <f>IF(AND(ADJUST!R26="",MASTER!$K$23=""),"",IF(ADJUST!R26="",MASTER!$K$23,ADJUST!R26))</f>
        <v>300</v>
      </c>
      <c r="R13" s="36" t="str">
        <f>IF(AND(ADJUST!S26="",MASTER!$K$24="",MASTER!$K$25=""),"",IF(ADJUST!S26="",(SUM(MASTER!$K$24:$K$25)),ADJUST!S26))</f>
        <v/>
      </c>
      <c r="S13" s="41" t="str">
        <f>IF(AND(ADJUST!T26="",MASTER!$K$26=""),"",IF(ADJUST!T26="",MASTER!$K$26,ADJUST!T26))</f>
        <v/>
      </c>
      <c r="T13" s="316" t="str">
        <f>IF(AND(ADJUST!U26="",ADJUST!V26="",MASTER!E27=0,MASTER!F27=0),"",IF(AND(ADJUST!U26="",ADJUST!V26=""),SUM(MASTER!E27+MASTER!F27),SUM(ADJUST!U26+ADJUST!V26)))</f>
        <v/>
      </c>
      <c r="U13" s="44">
        <f t="shared" si="3"/>
        <v>480</v>
      </c>
      <c r="V13" s="44">
        <f t="shared" si="1"/>
        <v>-180</v>
      </c>
      <c r="W13" s="23"/>
      <c r="X13" s="331">
        <f>MASTER!K8</f>
        <v>0</v>
      </c>
      <c r="Y13" s="331">
        <f>IF(MASTER!$O$8=9,(ROUND(SUM(AB12*0.03),-2)),Y12)</f>
        <v>0</v>
      </c>
      <c r="Z13" s="331">
        <f>IF(MASTER!$O$20=9,ROUND((X13+Y13)*0.03,-2),Z12)</f>
        <v>0</v>
      </c>
      <c r="AA13" s="331">
        <f>IF(MASTER!$O$20=9,ROUND((X13+Y13+Z13)*0.03,-2),AA12)</f>
        <v>0</v>
      </c>
      <c r="AB13" s="331">
        <f t="shared" si="2"/>
        <v>0</v>
      </c>
      <c r="AC13" s="331">
        <f t="shared" si="6"/>
        <v>0</v>
      </c>
      <c r="AD13" s="331">
        <f t="shared" si="5"/>
        <v>0</v>
      </c>
    </row>
    <row r="14" spans="1:30" ht="19.5" customHeight="1" thickTop="1" thickBot="1">
      <c r="A14" s="23"/>
      <c r="B14" s="17" t="s">
        <v>57</v>
      </c>
      <c r="C14" s="35">
        <f>IF(ADJUST!D27="",AB14,ADJUST!D27)</f>
        <v>0</v>
      </c>
      <c r="D14" s="36" t="str">
        <f>IF(AND(ADJUST!E27="",MASTER!$K$9=""),"",IF(ADJUST!E27="",MASTER!$K$9,ADJUST!E27))</f>
        <v/>
      </c>
      <c r="E14" s="36">
        <f>IF(AND(ADJUST!F27="",C14=""),"",IF(ADJUST!F27="",IF(OR(MASTER!$K$32=10),(ROUND(SUM(C14*0.53),0)),(ROUND(SUM(C14*0.5),0))),ADJUST!F27))</f>
        <v>0</v>
      </c>
      <c r="F14" s="38">
        <f>IF(ADJUST!G27="",IF(MASTER!$O$10=10,MASTER!$O$11,IF(MASTER!$O$22=10,MASTER!$O$23,F13)),ADJUST!G27)</f>
        <v>0</v>
      </c>
      <c r="G14" s="36">
        <f>IF(ADJUST!H27="",MASTER!$K$11,ADJUST!H27)</f>
        <v>300</v>
      </c>
      <c r="H14" s="36" t="str">
        <f>IF(AND(ADJUST!I27="",MASTER!$K$12=""),"",IF(ADJUST!I27="",MASTER!$K$12,ADJUST!I27))</f>
        <v/>
      </c>
      <c r="I14" s="36" t="str">
        <f>IF(AND(ADJUST!J27="",MASTER!$K$13=""),"",IF(ADJUST!J27="",MASTER!$K$13,ADJUST!J27))</f>
        <v/>
      </c>
      <c r="J14" s="36" t="str">
        <f>IF(AND(ADJUST!K27="",MASTER!$K$14=""),"",IF(ADJUST!K27="",MASTER!$K$14,ADJUST!K27))</f>
        <v/>
      </c>
      <c r="K14" s="36" t="str">
        <f>IF(AND(ADJUST!L27="",MASTER!$K$15=""),"",IF(ADJUST!L27="",MASTER!$K$15,ADJUST!L27))</f>
        <v/>
      </c>
      <c r="L14" s="36" t="str">
        <f>IF(AND(ADJUST!M27="",MASTER!$K$16=""),"",IF(ADJUST!M27="",MASTER!$K$16,ADJUST!M27))</f>
        <v/>
      </c>
      <c r="M14" s="44">
        <f t="shared" si="0"/>
        <v>300</v>
      </c>
      <c r="N14" s="37">
        <f>IF(MASTER!$K$20=1,MASTER!G28,IF(ADJUST!O27="",(ROUND(SUM(C14+E14)*0.1,0)),ADJUST!O27))</f>
        <v>0</v>
      </c>
      <c r="O14" s="36">
        <f>IF(AND(ADJUST!P27="",MASTER!$K$21=""),"",IF(ADJUST!P27="",MASTER!$K$21,ADJUST!P27))</f>
        <v>110</v>
      </c>
      <c r="P14" s="36">
        <f>IF(AND(ADJUST!Q27="",MASTER!$K$22=""),"",IF(ADJUST!Q27="",MASTER!$K$22,ADJUST!Q27))</f>
        <v>70</v>
      </c>
      <c r="Q14" s="36">
        <f>IF(AND(ADJUST!R27="",MASTER!$K$23=""),"",IF(ADJUST!R27="",MASTER!$K$23,ADJUST!R27))</f>
        <v>300</v>
      </c>
      <c r="R14" s="36" t="str">
        <f>IF(AND(ADJUST!S27="",MASTER!$K$24="",MASTER!$K$25=""),"",IF(ADJUST!S27="",(SUM(MASTER!$K$24:$K$25)),ADJUST!S27))</f>
        <v/>
      </c>
      <c r="S14" s="41" t="str">
        <f>IF(AND(ADJUST!T27="",MASTER!$K$26=""),"",IF(ADJUST!T27="",MASTER!$K$26,ADJUST!T27))</f>
        <v/>
      </c>
      <c r="T14" s="316" t="str">
        <f>IF(AND(ADJUST!U27="",ADJUST!V27="",MASTER!E28=0,MASTER!F28=0),"",IF(AND(ADJUST!U27="",ADJUST!V27=""),SUM(MASTER!E28+MASTER!F28),SUM(ADJUST!U27+ADJUST!V27)))</f>
        <v/>
      </c>
      <c r="U14" s="44">
        <f t="shared" si="3"/>
        <v>480</v>
      </c>
      <c r="V14" s="44">
        <f t="shared" si="1"/>
        <v>-180</v>
      </c>
      <c r="W14" s="23"/>
      <c r="X14" s="331">
        <f>MASTER!K8</f>
        <v>0</v>
      </c>
      <c r="Y14" s="331">
        <f>IF(MASTER!$O$8=10,(ROUND(SUM(AB13*0.03),-2)),Y13)</f>
        <v>0</v>
      </c>
      <c r="Z14" s="331">
        <f>IF(MASTER!$O$20=10,ROUND((X14+Y14)*0.03,-2),Z13)</f>
        <v>0</v>
      </c>
      <c r="AA14" s="331">
        <f>IF(MASTER!$O$20=10,ROUND((X14+Y14+Z14)*0.03,-2),AA13)</f>
        <v>0</v>
      </c>
      <c r="AB14" s="331">
        <f t="shared" si="2"/>
        <v>0</v>
      </c>
      <c r="AC14" s="331">
        <f t="shared" si="6"/>
        <v>0</v>
      </c>
      <c r="AD14" s="331">
        <f t="shared" si="5"/>
        <v>0</v>
      </c>
    </row>
    <row r="15" spans="1:30" ht="19.5" customHeight="1" thickTop="1" thickBot="1">
      <c r="A15" s="23"/>
      <c r="B15" s="17" t="s">
        <v>58</v>
      </c>
      <c r="C15" s="35">
        <f>IF(ADJUST!D28="",AB15,ADJUST!D28)</f>
        <v>0</v>
      </c>
      <c r="D15" s="36" t="str">
        <f>IF(AND(ADJUST!E28="",MASTER!$K$9=""),"",IF(ADJUST!E28="",MASTER!$K$9,ADJUST!E28))</f>
        <v/>
      </c>
      <c r="E15" s="36">
        <f>IF(AND(ADJUST!F28="",C15=""),"",IF(ADJUST!F28="",IF(OR(MASTER!$K$32=10,MASTER!$K$32=11),(ROUND(SUM(C15*0.53),0)),(ROUND(SUM(C15*0.5),0))),ADJUST!F28))</f>
        <v>0</v>
      </c>
      <c r="F15" s="38">
        <f>IF(ADJUST!G28="",IF(MASTER!$O$10=11,MASTER!$O$11,IF(MASTER!$O$22=11,MASTER!$O$23,F14)),ADJUST!G28)</f>
        <v>0</v>
      </c>
      <c r="G15" s="36">
        <f>IF(ADJUST!H28="",MASTER!$K$11,ADJUST!H28)</f>
        <v>300</v>
      </c>
      <c r="H15" s="36" t="str">
        <f>IF(AND(ADJUST!I28="",MASTER!$K$12=""),"",IF(ADJUST!I28="",MASTER!$K$12,ADJUST!I28))</f>
        <v/>
      </c>
      <c r="I15" s="36" t="str">
        <f>IF(AND(ADJUST!J28="",MASTER!$K$13=""),"",IF(ADJUST!J28="",MASTER!$K$13,ADJUST!J28))</f>
        <v/>
      </c>
      <c r="J15" s="36" t="str">
        <f>IF(AND(ADJUST!K28="",MASTER!$K$14=""),"",IF(ADJUST!K28="",MASTER!$K$14,ADJUST!K28))</f>
        <v/>
      </c>
      <c r="K15" s="36" t="str">
        <f>IF(AND(ADJUST!L28="",MASTER!$K$15=""),"",IF(ADJUST!L28="",MASTER!$K$15,ADJUST!L28))</f>
        <v/>
      </c>
      <c r="L15" s="36" t="str">
        <f>IF(AND(ADJUST!M28="",MASTER!$K$16=""),"",IF(ADJUST!M28="",MASTER!$K$16,ADJUST!M28))</f>
        <v/>
      </c>
      <c r="M15" s="44">
        <f t="shared" si="0"/>
        <v>300</v>
      </c>
      <c r="N15" s="37">
        <f>IF(MASTER!$K$20=1,MASTER!G29,IF(ADJUST!O28="",(ROUND(SUM(C15+E15)*0.1,0)),ADJUST!O28))</f>
        <v>0</v>
      </c>
      <c r="O15" s="36">
        <f>IF(AND(ADJUST!P28="",MASTER!$K$21=""),"",IF(ADJUST!P28="",MASTER!$K$21,ADJUST!P28))</f>
        <v>110</v>
      </c>
      <c r="P15" s="36">
        <f>IF(AND(ADJUST!Q28="",MASTER!$K$22=""),"",IF(ADJUST!Q28="",MASTER!$K$22,ADJUST!Q28))</f>
        <v>70</v>
      </c>
      <c r="Q15" s="36">
        <f>IF(AND(ADJUST!R28="",MASTER!$K$23=""),"",IF(ADJUST!R28="",MASTER!$K$23,ADJUST!R28))</f>
        <v>300</v>
      </c>
      <c r="R15" s="36" t="str">
        <f>IF(AND(ADJUST!S28="",MASTER!$K$24="",MASTER!$K$25=""),"",IF(ADJUST!S28="",(SUM(MASTER!$K$24:$K$25)),ADJUST!S28))</f>
        <v/>
      </c>
      <c r="S15" s="41" t="str">
        <f>IF(AND(ADJUST!T28="",MASTER!$K$26=""),"",IF(ADJUST!T28="",MASTER!$K$26,ADJUST!T28))</f>
        <v/>
      </c>
      <c r="T15" s="316" t="str">
        <f>IF(AND(ADJUST!U28="",ADJUST!V28="",MASTER!E29=0,MASTER!F29=0),"",IF(AND(ADJUST!U28="",ADJUST!V28=""),SUM(MASTER!E29+MASTER!F29),SUM(ADJUST!U28+ADJUST!V28)))</f>
        <v/>
      </c>
      <c r="U15" s="44">
        <f t="shared" si="3"/>
        <v>480</v>
      </c>
      <c r="V15" s="44">
        <f t="shared" si="1"/>
        <v>-180</v>
      </c>
      <c r="W15" s="23"/>
      <c r="X15" s="331">
        <f>MASTER!K8</f>
        <v>0</v>
      </c>
      <c r="Y15" s="331">
        <f>IF(MASTER!$O$8=11,(ROUND(SUM(AB14*0.03),-2)),Y14)</f>
        <v>0</v>
      </c>
      <c r="Z15" s="331">
        <f>IF(MASTER!$O$20=11,ROUND((X15+Y15)*0.03,-2),Z14)</f>
        <v>0</v>
      </c>
      <c r="AA15" s="331">
        <f>IF(MASTER!$O$20=11,ROUND((X15+Y15+Z15)*0.03,-2),AA14)</f>
        <v>0</v>
      </c>
      <c r="AB15" s="331">
        <f t="shared" si="2"/>
        <v>0</v>
      </c>
      <c r="AC15" s="331">
        <f t="shared" si="6"/>
        <v>0</v>
      </c>
      <c r="AD15" s="331">
        <f t="shared" si="5"/>
        <v>0</v>
      </c>
    </row>
    <row r="16" spans="1:30" ht="19.5" customHeight="1" thickTop="1" thickBot="1">
      <c r="A16" s="23"/>
      <c r="B16" s="17" t="s">
        <v>59</v>
      </c>
      <c r="C16" s="35">
        <f>IF(ADJUST!D29="",AB16,ADJUST!D29)</f>
        <v>0</v>
      </c>
      <c r="D16" s="36" t="str">
        <f>IF(AND(ADJUST!E29="",MASTER!$K$9=""),"",IF(ADJUST!E29="",MASTER!$K$9,ADJUST!E29))</f>
        <v/>
      </c>
      <c r="E16" s="36">
        <f>IF(AND(ADJUST!F29="",C16=""),"",IF(ADJUST!F29="",IF(OR(MASTER!$K$32=10,MASTER!$K$32=11,MASTER!$K$32=12),(ROUND(SUM(C16*0.53),0)),(ROUND(SUM(C16*0.5),0))),ADJUST!F29))</f>
        <v>0</v>
      </c>
      <c r="F16" s="38">
        <f>IF(ADJUST!G29="",IF(MASTER!$O$10=12,MASTER!$O$11,IF(MASTER!$O$22=12,MASTER!$O$23,F15)),ADJUST!G29)</f>
        <v>0</v>
      </c>
      <c r="G16" s="36">
        <f>IF(ADJUST!H29="",MASTER!$K$11,ADJUST!H29)</f>
        <v>300</v>
      </c>
      <c r="H16" s="36" t="str">
        <f>IF(AND(ADJUST!I29="",MASTER!$K$12=""),"",IF(ADJUST!I29="",MASTER!$K$12,ADJUST!I29))</f>
        <v/>
      </c>
      <c r="I16" s="36" t="str">
        <f>IF(AND(ADJUST!J29="",MASTER!$K$13=""),"",IF(ADJUST!J29="",MASTER!$K$13,ADJUST!J29))</f>
        <v/>
      </c>
      <c r="J16" s="36" t="str">
        <f>IF(AND(ADJUST!K29="",MASTER!$K$14=""),"",IF(ADJUST!K29="",MASTER!$K$14,ADJUST!K29))</f>
        <v/>
      </c>
      <c r="K16" s="36" t="str">
        <f>IF(AND(ADJUST!L29="",MASTER!$K$15=""),"",IF(ADJUST!L29="",MASTER!$K$15,ADJUST!L29))</f>
        <v/>
      </c>
      <c r="L16" s="36" t="str">
        <f>IF(AND(ADJUST!M29="",MASTER!$K$16=""),"",IF(ADJUST!M29="",MASTER!$K$16,ADJUST!M29))</f>
        <v/>
      </c>
      <c r="M16" s="44">
        <f t="shared" si="0"/>
        <v>300</v>
      </c>
      <c r="N16" s="37">
        <f>IF(MASTER!$K$20=1,MASTER!G30,IF(ADJUST!O29="",(ROUND(SUM(C16+E16)*0.1,0)),ADJUST!O29))</f>
        <v>0</v>
      </c>
      <c r="O16" s="36">
        <f>IF(AND(ADJUST!P29="",MASTER!$K$21=""),"",IF(ADJUST!P29="",MASTER!$K$21,ADJUST!P29))</f>
        <v>110</v>
      </c>
      <c r="P16" s="36">
        <f>IF(AND(ADJUST!Q29="",MASTER!$K$22=""),"",IF(ADJUST!Q29="",MASTER!$K$22,ADJUST!Q29))</f>
        <v>70</v>
      </c>
      <c r="Q16" s="36">
        <f>IF(AND(ADJUST!R29="",MASTER!$K$23=""),"",IF(ADJUST!R29="",MASTER!$K$23,ADJUST!R29))</f>
        <v>300</v>
      </c>
      <c r="R16" s="36" t="str">
        <f>IF(AND(ADJUST!S29="",MASTER!$K$24="",MASTER!$K$25=""),"",IF(ADJUST!S29="",(SUM(MASTER!$K$24:$K$25)),ADJUST!S29))</f>
        <v/>
      </c>
      <c r="S16" s="41" t="str">
        <f>IF(AND(ADJUST!T29="",MASTER!$K$26=""),"",IF(ADJUST!T29="",MASTER!$K$26,ADJUST!T29))</f>
        <v/>
      </c>
      <c r="T16" s="316" t="str">
        <f>IF(AND(ADJUST!U29="",ADJUST!V29="",MASTER!E30=0,MASTER!F30=0),"",IF(AND(ADJUST!U29="",ADJUST!V29=""),SUM(MASTER!E30+MASTER!F30),SUM(ADJUST!U29+ADJUST!V29)))</f>
        <v/>
      </c>
      <c r="U16" s="44">
        <f t="shared" si="3"/>
        <v>480</v>
      </c>
      <c r="V16" s="44">
        <f t="shared" si="1"/>
        <v>-180</v>
      </c>
      <c r="W16" s="23"/>
      <c r="X16" s="331">
        <f>MASTER!K8</f>
        <v>0</v>
      </c>
      <c r="Y16" s="331">
        <f>IF(MASTER!$O$8=12,(ROUND(SUM(AB15*0.03),-2)),Y15)</f>
        <v>0</v>
      </c>
      <c r="Z16" s="331">
        <f>IF(MASTER!$O$20=12,ROUND((X16+Y16)*0.03,-2),Z15)</f>
        <v>0</v>
      </c>
      <c r="AA16" s="331">
        <f>IF(MASTER!$O$20=12,ROUND((X16+Y16+Z16)*0.03,-2),AA15)</f>
        <v>0</v>
      </c>
      <c r="AB16" s="331">
        <f t="shared" si="2"/>
        <v>0</v>
      </c>
      <c r="AC16" s="331">
        <f t="shared" si="6"/>
        <v>0</v>
      </c>
      <c r="AD16" s="331">
        <f t="shared" si="5"/>
        <v>0</v>
      </c>
    </row>
    <row r="17" spans="1:30" ht="19.5" customHeight="1" thickTop="1" thickBot="1">
      <c r="A17" s="23"/>
      <c r="B17" s="17" t="s">
        <v>60</v>
      </c>
      <c r="C17" s="35">
        <f>IF(ADJUST!D30="",AB17,ADJUST!D30)</f>
        <v>0</v>
      </c>
      <c r="D17" s="36" t="str">
        <f>IF(AND(ADJUST!E30="",MASTER!$K$9=""),"",IF(ADJUST!E30="",MASTER!$K$9,ADJUST!E30))</f>
        <v/>
      </c>
      <c r="E17" s="36">
        <f>IF(AND(ADJUST!F30="",C17=""),"",IF(ADJUST!F30="",IF(OR(MASTER!$K$32=10,MASTER!$K$32=11,MASTER!$K$32=12,MASTER!$K$32=1),(ROUND(SUM(C17*0.53),0)),(ROUND(SUM(C17*0.5),0))),ADJUST!F30))</f>
        <v>0</v>
      </c>
      <c r="F17" s="38">
        <f>IF(ADJUST!G30="",IF(MASTER!$O$10=1,MASTER!$O$11,IF(MASTER!$O$22=1,MASTER!$O$23,F16)),ADJUST!G30)</f>
        <v>0</v>
      </c>
      <c r="G17" s="36">
        <f>IF(ADJUST!H30="",MASTER!$K$11,ADJUST!H30)</f>
        <v>300</v>
      </c>
      <c r="H17" s="36" t="str">
        <f>IF(AND(ADJUST!I30="",MASTER!$K$12=""),"",IF(ADJUST!I30="",MASTER!$K$12,ADJUST!I30))</f>
        <v/>
      </c>
      <c r="I17" s="36" t="str">
        <f>IF(AND(ADJUST!J30="",MASTER!$K$13=""),"",IF(ADJUST!J30="",MASTER!$K$13,ADJUST!J30))</f>
        <v/>
      </c>
      <c r="J17" s="36" t="str">
        <f>IF(AND(ADJUST!K30="",MASTER!$K$14=""),"",IF(ADJUST!K30="",MASTER!$K$14,ADJUST!K30))</f>
        <v/>
      </c>
      <c r="K17" s="36" t="str">
        <f>IF(AND(ADJUST!L30="",MASTER!$K$15=""),"",IF(ADJUST!L30="",MASTER!$K$15,ADJUST!L30))</f>
        <v/>
      </c>
      <c r="L17" s="36" t="str">
        <f>IF(AND(ADJUST!M30="",MASTER!$K$16=""),"",IF(ADJUST!M30="",MASTER!$K$16,ADJUST!M30))</f>
        <v/>
      </c>
      <c r="M17" s="44">
        <f t="shared" si="0"/>
        <v>300</v>
      </c>
      <c r="N17" s="37">
        <f>IF(MASTER!$K$20=1,MASTER!G31,IF(ADJUST!O30="",(ROUND(SUM(C17+E17)*0.1,0)),ADJUST!O30))</f>
        <v>0</v>
      </c>
      <c r="O17" s="36">
        <f>IF(AND(ADJUST!P30="",MASTER!$K$21=""),"",IF(ADJUST!P30="",MASTER!$K$21,ADJUST!P30))</f>
        <v>110</v>
      </c>
      <c r="P17" s="36">
        <f>IF(AND(ADJUST!Q30="",MASTER!$K$22=""),"",IF(ADJUST!Q30="",MASTER!$K$22,ADJUST!Q30))</f>
        <v>70</v>
      </c>
      <c r="Q17" s="36">
        <f>IF(AND(ADJUST!R30="",MASTER!$K$23=""),"",IF(ADJUST!R30="",MASTER!$K$23,ADJUST!R30))</f>
        <v>300</v>
      </c>
      <c r="R17" s="36" t="str">
        <f>IF(AND(ADJUST!S30="",MASTER!$K$24="",MASTER!$K$25=""),"",IF(ADJUST!S30="",(SUM(MASTER!$K$24:$K$25)),ADJUST!S30))</f>
        <v/>
      </c>
      <c r="S17" s="41" t="str">
        <f>IF(AND(ADJUST!T30="",MASTER!$K$26=""),"",IF(ADJUST!T30="",MASTER!$K$26,ADJUST!T30))</f>
        <v/>
      </c>
      <c r="T17" s="316" t="str">
        <f>IF(AND(ADJUST!U30="",ADJUST!V30="",MASTER!E31=0,MASTER!F31=0),"",IF(AND(ADJUST!U30="",ADJUST!V30=""),SUM(MASTER!E31+MASTER!F31),SUM(ADJUST!U30+ADJUST!V30)))</f>
        <v/>
      </c>
      <c r="U17" s="44">
        <f t="shared" si="3"/>
        <v>480</v>
      </c>
      <c r="V17" s="44">
        <f t="shared" si="1"/>
        <v>-180</v>
      </c>
      <c r="W17" s="23"/>
      <c r="X17" s="331">
        <f>MASTER!K8</f>
        <v>0</v>
      </c>
      <c r="Y17" s="331">
        <f>IF(MASTER!$O$8=1,(ROUND(SUM(AB16*0.03),-2)),Y16)</f>
        <v>0</v>
      </c>
      <c r="Z17" s="331">
        <f>IF(MASTER!$O$20=1,ROUND((X17+Y17)*0.03,-2),Z16)</f>
        <v>0</v>
      </c>
      <c r="AA17" s="331">
        <f>IF(MASTER!$O$20=1,ROUND((X17+Y17+Z17)*0.03,-2),AA16)</f>
        <v>0</v>
      </c>
      <c r="AB17" s="331">
        <f t="shared" si="2"/>
        <v>0</v>
      </c>
      <c r="AC17" s="331">
        <f t="shared" si="6"/>
        <v>0</v>
      </c>
      <c r="AD17" s="331">
        <f t="shared" si="5"/>
        <v>0</v>
      </c>
    </row>
    <row r="18" spans="1:30" ht="19.5" customHeight="1" thickTop="1" thickBot="1">
      <c r="A18" s="23"/>
      <c r="B18" s="17" t="s">
        <v>61</v>
      </c>
      <c r="C18" s="35">
        <f>IF(ADJUST!D31="",AB18,ADJUST!D31)</f>
        <v>0</v>
      </c>
      <c r="D18" s="36" t="str">
        <f>IF(AND(ADJUST!E31="",MASTER!$K$9=""),"",IF(ADJUST!E31="",MASTER!$K$9,ADJUST!E31))</f>
        <v/>
      </c>
      <c r="E18" s="36">
        <f>IF(AND(ADJUST!F31="",C18=""),"",IF(ADJUST!F31="",IF(OR(MASTER!$K$32=10,MASTER!$K$32=11,MASTER!$K$32=12,MASTER!$K$32=1,MASTER!$K$32=2),(ROUND(SUM(C18*0.53),0)),(ROUND(SUM(C18*0.5),0))),ADJUST!F31))</f>
        <v>0</v>
      </c>
      <c r="F18" s="38">
        <f>IF(ADJUST!G31="",IF(MASTER!$O$10=2,MASTER!$O$11,IF(MASTER!$O$22=2,MASTER!$O$23,F17)),ADJUST!G31)</f>
        <v>0</v>
      </c>
      <c r="G18" s="36">
        <f>IF(ADJUST!H31="",MASTER!$K$11,ADJUST!H31)</f>
        <v>300</v>
      </c>
      <c r="H18" s="36" t="str">
        <f>IF(AND(ADJUST!I31="",MASTER!$K$12=""),"",IF(ADJUST!I31="",MASTER!$K$12,ADJUST!I31))</f>
        <v/>
      </c>
      <c r="I18" s="36" t="str">
        <f>IF(AND(ADJUST!J31="",MASTER!$K$13=""),"",IF(ADJUST!J31="",MASTER!$K$13,ADJUST!J31))</f>
        <v/>
      </c>
      <c r="J18" s="36" t="str">
        <f>IF(AND(ADJUST!K31="",MASTER!$K$14=""),"",IF(ADJUST!K31="",MASTER!$K$14,ADJUST!K31))</f>
        <v/>
      </c>
      <c r="K18" s="36" t="str">
        <f>IF(AND(ADJUST!L31="",MASTER!$K$15=""),"",IF(ADJUST!L31="",MASTER!$K$15,ADJUST!L31))</f>
        <v/>
      </c>
      <c r="L18" s="36" t="str">
        <f>IF(AND(ADJUST!M31="",MASTER!$K$16=""),"",IF(ADJUST!M31="",MASTER!$K$16,ADJUST!M31))</f>
        <v/>
      </c>
      <c r="M18" s="44">
        <f t="shared" si="0"/>
        <v>300</v>
      </c>
      <c r="N18" s="37">
        <f>IF(MASTER!$K$20=1,MASTER!G32,IF(ADJUST!O31="",(ROUND(SUM(C18+E18)*0.1,0)),ADJUST!O31))</f>
        <v>0</v>
      </c>
      <c r="O18" s="36">
        <f>IF(AND(ADJUST!P31="",MASTER!$K$21=""),"",IF(ADJUST!P31="",MASTER!$K$21,ADJUST!P31))</f>
        <v>110</v>
      </c>
      <c r="P18" s="36">
        <f>IF(AND(ADJUST!Q31="",MASTER!$K$22=""),"",IF(ADJUST!Q31="",MASTER!$K$22,ADJUST!Q31))</f>
        <v>70</v>
      </c>
      <c r="Q18" s="36">
        <f>IF(AND(ADJUST!R31="",MASTER!$K$23=""),"",IF(ADJUST!R31="",MASTER!$K$23,ADJUST!R31))</f>
        <v>300</v>
      </c>
      <c r="R18" s="36" t="str">
        <f>IF(AND(ADJUST!S31="",MASTER!$K$24="",MASTER!$K$25=""),"",IF(ADJUST!S31="",(SUM(MASTER!$K$24:$K$25)),ADJUST!S31))</f>
        <v/>
      </c>
      <c r="S18" s="41" t="str">
        <f>IF(AND(ADJUST!T31="",MASTER!$K$26=""),"",IF(ADJUST!T31="",MASTER!$K$26,ADJUST!T31))</f>
        <v/>
      </c>
      <c r="T18" s="316" t="str">
        <f>IF(AND(ADJUST!U31="",ADJUST!V31="",MASTER!E32=0,MASTER!F32=0),"",IF(AND(ADJUST!U31="",ADJUST!V31=""),SUM(MASTER!E32+MASTER!F32),SUM(ADJUST!U31+ADJUST!V31)))</f>
        <v/>
      </c>
      <c r="U18" s="44">
        <f t="shared" si="3"/>
        <v>480</v>
      </c>
      <c r="V18" s="44">
        <f t="shared" si="1"/>
        <v>-180</v>
      </c>
      <c r="W18" s="23"/>
      <c r="X18" s="331">
        <f>MASTER!K8</f>
        <v>0</v>
      </c>
      <c r="Y18" s="331">
        <f>IF(MASTER!$O$8=2,(ROUND(SUM(AB17*0.03),-2)),Y17)</f>
        <v>0</v>
      </c>
      <c r="Z18" s="331">
        <f>IF(MASTER!$O$20=2,ROUND((X18+Y18)*0.03,-2),Z17)</f>
        <v>0</v>
      </c>
      <c r="AA18" s="331">
        <f>IF(MASTER!$O$20=2,ROUND((X18+Y18+Z18)*0.03,-2),AA17)</f>
        <v>0</v>
      </c>
      <c r="AB18" s="331">
        <f t="shared" si="2"/>
        <v>0</v>
      </c>
      <c r="AC18" s="331">
        <f t="shared" si="6"/>
        <v>0</v>
      </c>
      <c r="AD18" s="331">
        <f t="shared" si="5"/>
        <v>0</v>
      </c>
    </row>
    <row r="19" spans="1:30" ht="19.5" customHeight="1" thickTop="1" thickBot="1">
      <c r="A19" s="23"/>
      <c r="B19" s="40" t="s">
        <v>39</v>
      </c>
      <c r="C19" s="35"/>
      <c r="D19" s="38"/>
      <c r="E19" s="38">
        <f>IF(AND(ADJUST!F33="",MASTER!K30=""),AC19,IF(ADJUST!F33="",MASTER!K30,ADJUST!F33))</f>
        <v>0</v>
      </c>
      <c r="F19" s="38"/>
      <c r="G19" s="38"/>
      <c r="H19" s="38"/>
      <c r="I19" s="38"/>
      <c r="J19" s="38"/>
      <c r="K19" s="38"/>
      <c r="L19" s="38"/>
      <c r="M19" s="44">
        <f t="shared" si="0"/>
        <v>0</v>
      </c>
      <c r="N19" s="37">
        <f>IF(MASTER!$K$20=1,0,IF(AND(ADJUST!O33="",MASTER!K31=""),AD19,IF(ADJUST!O33="",MASTER!K31,ADJUST!O33)))</f>
        <v>0</v>
      </c>
      <c r="O19" s="38"/>
      <c r="P19" s="38"/>
      <c r="Q19" s="38"/>
      <c r="R19" s="39"/>
      <c r="S19" s="39"/>
      <c r="T19" s="39" t="str">
        <f>IF(AND(ADJUST!U33="",ADJUST!V33=""),"",SUM(ADJUST!U33+ADJUST!V33))</f>
        <v/>
      </c>
      <c r="U19" s="44">
        <f t="shared" si="3"/>
        <v>0</v>
      </c>
      <c r="V19" s="44">
        <f t="shared" si="1"/>
        <v>0</v>
      </c>
      <c r="W19" s="23"/>
      <c r="X19" s="575" t="s">
        <v>366</v>
      </c>
      <c r="Y19" s="575"/>
      <c r="Z19" s="575"/>
      <c r="AA19" s="575"/>
      <c r="AB19" s="575"/>
      <c r="AC19" s="331">
        <f>IF(MASTER!K29=4,SUM(AC7*3),IF(MASTER!K29=5,SUM(AC7*3,AC8),IF(MASTER!K29=6,SUM(AC7*3,AC8:AC9),IF(MASTER!K29=7,SUM(AC7*3,AC8:AC10),IF(MASTER!K29=8,SUM(AC7*3,AC8:AC11),IF(MASTER!K29=9,SUM(AC7*3,AC8:AC12),ADJUST!F33))))))</f>
        <v>0</v>
      </c>
      <c r="AD19" s="331">
        <f>IF(MASTER!K29=4,SUM(AD7*3),IF(MASTER!K29=5,SUM(AD7*3,AD8),IF(MASTER!K29=6,SUM(AD7*3,AD8:AD9),IF(MASTER!K29=7,SUM(AD7*3,AD8:AD10),IF(MASTER!K29=8,SUM(AD7*3,AD8:AD11),IF(MASTER!K29=9,SUM(AD7*3,AD8:AD12),ADJUST!O33))))))</f>
        <v>0</v>
      </c>
    </row>
    <row r="20" spans="1:30" ht="19.5" customHeight="1" thickTop="1" thickBot="1">
      <c r="A20" s="23"/>
      <c r="B20" s="40" t="s">
        <v>40</v>
      </c>
      <c r="C20" s="35"/>
      <c r="D20" s="38"/>
      <c r="E20" s="38">
        <f>IF(AND(ADJUST!F34="",MASTER!K33=""),AC20,IF(ADJUST!F34="",MASTER!K33,ADJUST!F34))</f>
        <v>0</v>
      </c>
      <c r="F20" s="38"/>
      <c r="G20" s="38"/>
      <c r="H20" s="38"/>
      <c r="I20" s="38"/>
      <c r="J20" s="38"/>
      <c r="K20" s="38"/>
      <c r="L20" s="38"/>
      <c r="M20" s="44">
        <f t="shared" si="0"/>
        <v>0</v>
      </c>
      <c r="N20" s="37">
        <f>IF(MASTER!$K$20=1,0,IF(AND(ADJUST!O34="",MASTER!K34=""),AD20,IF(ADJUST!O34="",MASTER!K34,ADJUST!O34)))</f>
        <v>0</v>
      </c>
      <c r="O20" s="38"/>
      <c r="P20" s="38"/>
      <c r="Q20" s="38"/>
      <c r="R20" s="41"/>
      <c r="S20" s="41"/>
      <c r="T20" s="39" t="str">
        <f>IF(AND(ADJUST!U34="",ADJUST!V34=""),"",SUM(ADJUST!U34+ADJUST!V34))</f>
        <v/>
      </c>
      <c r="U20" s="44">
        <f t="shared" si="3"/>
        <v>0</v>
      </c>
      <c r="V20" s="44">
        <f t="shared" si="1"/>
        <v>0</v>
      </c>
      <c r="W20" s="23"/>
      <c r="X20" s="575" t="s">
        <v>367</v>
      </c>
      <c r="Y20" s="575"/>
      <c r="Z20" s="575"/>
      <c r="AA20" s="575"/>
      <c r="AB20" s="575"/>
      <c r="AC20" s="331">
        <f>IF(MASTER!K32=10,SUM(AC11:AC13),IF(MASTER!K32=11,SUM(AC11:AC14),IF(MASTER!K32=12,SUM(AC11:AC15),IF(MASTER!K32=1,SUM(AC11:AC16),IF(MASTER!K32=2,SUM(AC11:AC17),ADJUST!F34)))))</f>
        <v>0</v>
      </c>
      <c r="AD20" s="331">
        <f>IF(MASTER!K32=10,SUM(AD11:AD13),IF(MASTER!K32=11,SUM(AD11:AD14),IF(MASTER!K32=12,SUM(AD11:AD15),IF(MASTER!K32=1,SUM(AD11:AD16),IF(MASTER!K32=2,SUM(AD11:AD17),ADJUST!F34)))))</f>
        <v>0</v>
      </c>
    </row>
    <row r="21" spans="1:30" ht="19.5" customHeight="1" thickTop="1" thickBot="1">
      <c r="A21" s="23"/>
      <c r="B21" s="93" t="s">
        <v>117</v>
      </c>
      <c r="C21" s="38" t="str">
        <f>IF(AND(ADJUST!D35="",MASTER!O13=""),"",IF(ADJUST!D35="",MASTER!O13,ADJUST!D35))</f>
        <v/>
      </c>
      <c r="D21" s="38" t="str">
        <f>IF(AND(ADJUST!E35="",MASTER!O14=""),"",IF(ADJUST!E35="",MASTER!O14,ADJUST!E35))</f>
        <v/>
      </c>
      <c r="E21" s="38" t="str">
        <f>IF(AND(ADJUST!F35="",MASTER!O15=""),"",IF(ADJUST!F35="",MASTER!O15,ADJUST!F35))</f>
        <v/>
      </c>
      <c r="F21" s="38" t="str">
        <f>IF(AND(ADJUST!G35="",MASTER!O16=""),"",IF(ADJUST!G35="",MASTER!O16,ADJUST!G35))</f>
        <v/>
      </c>
      <c r="G21" s="38" t="str">
        <f>IF(ADJUST!H35="","",ADJUST!H35)</f>
        <v/>
      </c>
      <c r="H21" s="38" t="str">
        <f>IF(ADJUST!I35="","",ADJUST!I35)</f>
        <v/>
      </c>
      <c r="I21" s="38" t="str">
        <f>IF(ADJUST!J35="","",ADJUST!J35)</f>
        <v/>
      </c>
      <c r="J21" s="38" t="str">
        <f>IF(ADJUST!K35="","",ADJUST!K35)</f>
        <v/>
      </c>
      <c r="K21" s="38" t="str">
        <f>IF(ADJUST!L35="","",ADJUST!L35)</f>
        <v/>
      </c>
      <c r="L21" s="38" t="str">
        <f>IF(ADJUST!M35="","",ADJUST!M35)</f>
        <v/>
      </c>
      <c r="M21" s="44">
        <f t="shared" si="0"/>
        <v>0</v>
      </c>
      <c r="N21" s="37" t="str">
        <f>IF(AND(ADJUST!O35="",MASTER!O17=""),"",IF(ADJUST!O35="",MASTER!O17,ADJUST!O35))</f>
        <v/>
      </c>
      <c r="O21" s="37" t="str">
        <f>IF(ADJUST!P35="","",ADJUST!P35)</f>
        <v/>
      </c>
      <c r="P21" s="37" t="str">
        <f>IF(ADJUST!Q35="","",ADJUST!Q35)</f>
        <v/>
      </c>
      <c r="Q21" s="37" t="str">
        <f>IF(ADJUST!R35="","",ADJUST!R35)</f>
        <v/>
      </c>
      <c r="R21" s="37" t="str">
        <f>IF(ADJUST!S35="","",ADJUST!S35)</f>
        <v/>
      </c>
      <c r="S21" s="315" t="str">
        <f>IF(ADJUST!T35="","",ADJUST!T35)</f>
        <v/>
      </c>
      <c r="T21" s="39" t="str">
        <f>IF(AND(ADJUST!U35="",ADJUST!V35=""),"",SUM(ADJUST!U35+ADJUST!V35))</f>
        <v/>
      </c>
      <c r="U21" s="44">
        <f t="shared" si="3"/>
        <v>0</v>
      </c>
      <c r="V21" s="44">
        <f t="shared" si="1"/>
        <v>0</v>
      </c>
      <c r="W21" s="23"/>
      <c r="X21" s="23"/>
    </row>
    <row r="22" spans="1:30" ht="19.5" customHeight="1" thickTop="1" thickBot="1">
      <c r="A22" s="23"/>
      <c r="B22" s="42" t="s">
        <v>118</v>
      </c>
      <c r="C22" s="38" t="str">
        <f>IF(AND(ADJUST!D36="",MASTER!O25=""),"",IF(ADJUST!D36="",MASTER!O25,ADJUST!D36))</f>
        <v/>
      </c>
      <c r="D22" s="38" t="str">
        <f>IF(AND(ADJUST!E36="",MASTER!O26=""),"",IF(ADJUST!E36="",MASTER!O26,ADJUST!E36))</f>
        <v/>
      </c>
      <c r="E22" s="38" t="str">
        <f>IF(AND(ADJUST!F36="",MASTER!O27=""),"",IF(ADJUST!F36="",MASTER!O27,ADJUST!F36))</f>
        <v/>
      </c>
      <c r="F22" s="38" t="str">
        <f>IF(AND(ADJUST!G36="",MASTER!O28=""),"",IF(ADJUST!G36="",MASTER!O28,ADJUST!G36))</f>
        <v/>
      </c>
      <c r="G22" s="38" t="str">
        <f>IF(ADJUST!H36="","",ADJUST!H36)</f>
        <v/>
      </c>
      <c r="H22" s="38" t="str">
        <f>IF(ADJUST!I36="","",ADJUST!I36)</f>
        <v/>
      </c>
      <c r="I22" s="38" t="str">
        <f>IF(ADJUST!J36="","",ADJUST!J36)</f>
        <v/>
      </c>
      <c r="J22" s="38" t="str">
        <f>IF(ADJUST!K36="","",ADJUST!K36)</f>
        <v/>
      </c>
      <c r="K22" s="38" t="str">
        <f>IF(ADJUST!L36="","",ADJUST!L36)</f>
        <v/>
      </c>
      <c r="L22" s="38" t="str">
        <f>IF(ADJUST!M36="","",ADJUST!M36)</f>
        <v/>
      </c>
      <c r="M22" s="44">
        <f t="shared" si="0"/>
        <v>0</v>
      </c>
      <c r="N22" s="37" t="str">
        <f>IF(AND(ADJUST!O36="",MASTER!O29=""),"",IF(ADJUST!O36="",MASTER!O29,ADJUST!O36))</f>
        <v/>
      </c>
      <c r="O22" s="37" t="str">
        <f>IF(ADJUST!P36="","",ADJUST!P36)</f>
        <v/>
      </c>
      <c r="P22" s="37" t="str">
        <f>IF(ADJUST!Q36="","",ADJUST!Q36)</f>
        <v/>
      </c>
      <c r="Q22" s="37" t="str">
        <f>IF(ADJUST!R36="","",ADJUST!R36)</f>
        <v/>
      </c>
      <c r="R22" s="37" t="str">
        <f>IF(ADJUST!S36="","",ADJUST!S36)</f>
        <v/>
      </c>
      <c r="S22" s="315" t="str">
        <f>IF(ADJUST!T36="","",ADJUST!T36)</f>
        <v/>
      </c>
      <c r="T22" s="39" t="str">
        <f>IF(AND(ADJUST!U36="",ADJUST!V36=""),"",SUM(ADJUST!U36+ADJUST!V36))</f>
        <v/>
      </c>
      <c r="U22" s="44">
        <f t="shared" si="3"/>
        <v>0</v>
      </c>
      <c r="V22" s="44">
        <f t="shared" si="1"/>
        <v>0</v>
      </c>
      <c r="W22" s="23"/>
      <c r="X22" s="23"/>
    </row>
    <row r="23" spans="1:30" ht="19.5" customHeight="1" thickTop="1" thickBot="1">
      <c r="A23" s="23"/>
      <c r="B23" s="94" t="s">
        <v>119</v>
      </c>
      <c r="C23" s="38" t="str">
        <f>IF(ADJUST!D37="","",ADJUST!D37)</f>
        <v/>
      </c>
      <c r="D23" s="38" t="str">
        <f>IF(ADJUST!E37="","",ADJUST!E37)</f>
        <v/>
      </c>
      <c r="E23" s="38" t="str">
        <f>IF(ADJUST!F37="","",ADJUST!F37)</f>
        <v/>
      </c>
      <c r="F23" s="38" t="str">
        <f>IF(ADJUST!G37="","",ADJUST!G37)</f>
        <v/>
      </c>
      <c r="G23" s="38" t="str">
        <f>IF(ADJUST!H37="","",ADJUST!H37)</f>
        <v/>
      </c>
      <c r="H23" s="38" t="str">
        <f>IF(ADJUST!I37="","",ADJUST!I37)</f>
        <v/>
      </c>
      <c r="I23" s="38" t="str">
        <f>IF(ADJUST!J37="","",ADJUST!J37)</f>
        <v/>
      </c>
      <c r="J23" s="38" t="str">
        <f>IF(ADJUST!K37="","",ADJUST!K37)</f>
        <v/>
      </c>
      <c r="K23" s="38" t="str">
        <f>IF(ADJUST!L37="","",ADJUST!L37)</f>
        <v/>
      </c>
      <c r="L23" s="38" t="str">
        <f>IF(ADJUST!M37="","",ADJUST!M37)</f>
        <v/>
      </c>
      <c r="M23" s="44">
        <f t="shared" si="0"/>
        <v>0</v>
      </c>
      <c r="N23" s="37" t="str">
        <f>IF(ADJUST!O37="","",ADJUST!O37)</f>
        <v/>
      </c>
      <c r="O23" s="37" t="str">
        <f>IF(ADJUST!P37="","",ADJUST!P37)</f>
        <v/>
      </c>
      <c r="P23" s="37" t="str">
        <f>IF(ADJUST!Q37="","",ADJUST!Q37)</f>
        <v/>
      </c>
      <c r="Q23" s="37" t="str">
        <f>IF(ADJUST!R37="","",ADJUST!R37)</f>
        <v/>
      </c>
      <c r="R23" s="37" t="str">
        <f>IF(ADJUST!S37="","",ADJUST!S37)</f>
        <v/>
      </c>
      <c r="S23" s="315" t="str">
        <f>IF(ADJUST!T37="","",ADJUST!T37)</f>
        <v/>
      </c>
      <c r="T23" s="39" t="str">
        <f>IF(AND(ADJUST!U37="",ADJUST!V37=""),"",SUM(ADJUST!U37+ADJUST!V37))</f>
        <v/>
      </c>
      <c r="U23" s="44">
        <f t="shared" si="3"/>
        <v>0</v>
      </c>
      <c r="V23" s="44">
        <f t="shared" si="1"/>
        <v>0</v>
      </c>
      <c r="W23" s="23"/>
      <c r="X23" s="23"/>
    </row>
    <row r="24" spans="1:30" ht="19.5" customHeight="1" thickTop="1" thickBot="1">
      <c r="A24" s="23"/>
      <c r="B24" s="94" t="s">
        <v>131</v>
      </c>
      <c r="C24" s="104"/>
      <c r="D24" s="105"/>
      <c r="E24" s="105"/>
      <c r="F24" s="105"/>
      <c r="G24" s="105"/>
      <c r="H24" s="105"/>
      <c r="I24" s="105"/>
      <c r="J24" s="105"/>
      <c r="K24" s="105"/>
      <c r="L24" s="105"/>
      <c r="M24" s="44">
        <f>SUM(MASTER!K17)</f>
        <v>0</v>
      </c>
      <c r="N24" s="37"/>
      <c r="O24" s="38"/>
      <c r="P24" s="38"/>
      <c r="Q24" s="38"/>
      <c r="R24" s="39"/>
      <c r="S24" s="39"/>
      <c r="T24" s="320"/>
      <c r="U24" s="44">
        <f t="shared" si="3"/>
        <v>0</v>
      </c>
      <c r="V24" s="44">
        <f t="shared" si="1"/>
        <v>0</v>
      </c>
      <c r="W24" s="23"/>
      <c r="X24" s="23"/>
    </row>
    <row r="25" spans="1:30" ht="24" customHeight="1" thickTop="1" thickBot="1">
      <c r="A25" s="23"/>
      <c r="B25" s="29" t="s">
        <v>8</v>
      </c>
      <c r="C25" s="44">
        <f t="shared" ref="C25:V25" si="7">SUM(C7:C24)</f>
        <v>0</v>
      </c>
      <c r="D25" s="44">
        <f t="shared" si="7"/>
        <v>0</v>
      </c>
      <c r="E25" s="44">
        <f t="shared" si="7"/>
        <v>0</v>
      </c>
      <c r="F25" s="44">
        <f t="shared" si="7"/>
        <v>0</v>
      </c>
      <c r="G25" s="44">
        <f t="shared" si="7"/>
        <v>3600</v>
      </c>
      <c r="H25" s="44">
        <f t="shared" si="7"/>
        <v>0</v>
      </c>
      <c r="I25" s="44">
        <f t="shared" si="7"/>
        <v>0</v>
      </c>
      <c r="J25" s="44">
        <f t="shared" si="7"/>
        <v>0</v>
      </c>
      <c r="K25" s="44">
        <f t="shared" si="7"/>
        <v>0</v>
      </c>
      <c r="L25" s="44">
        <f t="shared" si="7"/>
        <v>0</v>
      </c>
      <c r="M25" s="44">
        <f t="shared" si="7"/>
        <v>3600</v>
      </c>
      <c r="N25" s="44">
        <f t="shared" si="7"/>
        <v>0</v>
      </c>
      <c r="O25" s="44">
        <f t="shared" si="7"/>
        <v>1320</v>
      </c>
      <c r="P25" s="44">
        <f t="shared" si="7"/>
        <v>840</v>
      </c>
      <c r="Q25" s="44">
        <f t="shared" si="7"/>
        <v>3600</v>
      </c>
      <c r="R25" s="44">
        <f t="shared" si="7"/>
        <v>0</v>
      </c>
      <c r="S25" s="44">
        <f t="shared" si="7"/>
        <v>0</v>
      </c>
      <c r="T25" s="44">
        <f t="shared" si="7"/>
        <v>0</v>
      </c>
      <c r="U25" s="44">
        <f t="shared" si="7"/>
        <v>5760</v>
      </c>
      <c r="V25" s="44">
        <f t="shared" si="7"/>
        <v>-2160</v>
      </c>
      <c r="W25" s="23"/>
      <c r="X25" s="23"/>
    </row>
    <row r="26" spans="1:30" ht="27.75" customHeight="1" thickTop="1">
      <c r="A26" s="23"/>
      <c r="B26" s="63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45"/>
      <c r="W26" s="23"/>
      <c r="X26" s="23"/>
    </row>
    <row r="27" spans="1:30">
      <c r="B27" s="586" t="s">
        <v>73</v>
      </c>
      <c r="C27" s="586"/>
      <c r="D27" s="586"/>
      <c r="E27" s="586"/>
      <c r="F27" s="586"/>
      <c r="G27" s="586"/>
      <c r="H27" s="586"/>
      <c r="I27" s="65"/>
      <c r="J27" s="65"/>
      <c r="K27" s="65"/>
      <c r="L27" s="65"/>
      <c r="M27" s="66"/>
      <c r="N27" s="586" t="s">
        <v>21</v>
      </c>
      <c r="O27" s="586"/>
      <c r="P27" s="586"/>
      <c r="Q27" s="586"/>
      <c r="R27" s="586"/>
      <c r="S27" s="586"/>
      <c r="T27" s="586"/>
      <c r="U27" s="586"/>
      <c r="V27" s="46"/>
    </row>
    <row r="28" spans="1:30" ht="18.75" customHeight="1">
      <c r="B28" s="579" t="s">
        <v>280</v>
      </c>
      <c r="C28" s="579"/>
      <c r="D28" s="579"/>
      <c r="E28" s="579"/>
      <c r="F28" s="579"/>
      <c r="G28" s="579"/>
      <c r="H28" s="579"/>
      <c r="I28" s="579"/>
      <c r="J28" s="579"/>
      <c r="K28" s="579"/>
      <c r="L28" s="579"/>
      <c r="M28" s="579"/>
      <c r="N28" s="579"/>
      <c r="O28" s="579"/>
      <c r="P28" s="579"/>
      <c r="Q28" s="579"/>
      <c r="R28" s="579"/>
      <c r="S28" s="579"/>
      <c r="T28" s="579"/>
      <c r="U28" s="579"/>
      <c r="V28" s="62"/>
    </row>
  </sheetData>
  <sheetProtection password="8541" sheet="1" objects="1" scenarios="1"/>
  <mergeCells count="23">
    <mergeCell ref="S4:U4"/>
    <mergeCell ref="B2:U2"/>
    <mergeCell ref="B3:C3"/>
    <mergeCell ref="D3:G3"/>
    <mergeCell ref="H3:I3"/>
    <mergeCell ref="J3:O3"/>
    <mergeCell ref="P3:R3"/>
    <mergeCell ref="S3:U3"/>
    <mergeCell ref="B4:C4"/>
    <mergeCell ref="D4:G4"/>
    <mergeCell ref="H4:I4"/>
    <mergeCell ref="J4:O4"/>
    <mergeCell ref="P4:R4"/>
    <mergeCell ref="B5:M5"/>
    <mergeCell ref="N5:U5"/>
    <mergeCell ref="V5:V6"/>
    <mergeCell ref="B27:H27"/>
    <mergeCell ref="N27:U27"/>
    <mergeCell ref="X6:Y6"/>
    <mergeCell ref="Z6:AA6"/>
    <mergeCell ref="X19:AB19"/>
    <mergeCell ref="X20:AB20"/>
    <mergeCell ref="B28:U28"/>
  </mergeCells>
  <pageMargins left="0.51181102362204722" right="0.39370078740157483" top="0.59055118110236227" bottom="0.59055118110236227" header="0.39370078740157483" footer="0.3937007874015748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MASTER</vt:lpstr>
      <vt:lpstr>ADJUST</vt:lpstr>
      <vt:lpstr>NEW P1</vt:lpstr>
      <vt:lpstr>NEW P2</vt:lpstr>
      <vt:lpstr>OLD P1</vt:lpstr>
      <vt:lpstr>OLD P2</vt:lpstr>
      <vt:lpstr>OLD P3</vt:lpstr>
      <vt:lpstr>OLD P4</vt:lpstr>
      <vt:lpstr>ADJUST!Print_Area</vt:lpstr>
      <vt:lpstr>MASTER!Print_Area</vt:lpstr>
      <vt:lpstr>'NEW P1'!Print_Area</vt:lpstr>
      <vt:lpstr>'NEW P2'!Print_Area</vt:lpstr>
      <vt:lpstr>'OLD P1'!Print_Area</vt:lpstr>
      <vt:lpstr>'OLD P2'!Print_Area</vt:lpstr>
      <vt:lpstr>'OLD P3'!Print_Area</vt:lpstr>
      <vt:lpstr>'OLD P4'!Print_Area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 Kavin</dc:creator>
  <cp:lastModifiedBy>ELCOT</cp:lastModifiedBy>
  <cp:lastPrinted>2025-01-11T09:31:35Z</cp:lastPrinted>
  <dcterms:created xsi:type="dcterms:W3CDTF">2021-02-13T13:03:15Z</dcterms:created>
  <dcterms:modified xsi:type="dcterms:W3CDTF">2025-01-21T17:50:15Z</dcterms:modified>
</cp:coreProperties>
</file>